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nhiimpl1-my.sharepoint.com/personal/vinayjindal_nhit_co_in/Documents/Documents/RFPs FY 25-26/RFP Toll Plaza Renovation-02 NSPPL/"/>
    </mc:Choice>
  </mc:AlternateContent>
  <xr:revisionPtr revIDLastSave="34" documentId="8_{4448B53C-198E-4573-90D4-683F45666AE5}" xr6:coauthVersionLast="47" xr6:coauthVersionMax="47" xr10:uidLastSave="{C900700B-699C-4913-A0C8-737D3031DDB3}"/>
  <bookViews>
    <workbookView xWindow="-110" yWindow="-110" windowWidth="19420" windowHeight="10300" tabRatio="878" firstSheet="17" activeTab="22" xr2:uid="{CB012A7B-CF23-4AED-AA59-96211987A545}"/>
  </bookViews>
  <sheets>
    <sheet name="BOQ -FaridPur" sheetId="23" r:id="rId1"/>
    <sheet name="Aluminium Partition work" sheetId="3" r:id="rId2"/>
    <sheet name="Alum.Repairing (Build)" sheetId="5" r:id="rId3"/>
    <sheet name="Curtains" sheetId="6" r:id="rId4"/>
    <sheet name="New Doors" sheetId="26" r:id="rId5"/>
    <sheet name="Door Repairing ACP" sheetId="30" r:id="rId6"/>
    <sheet name="Booth Repairing" sheetId="8" r:id="rId7"/>
    <sheet name="Work station and Storage. " sheetId="22" state="hidden" r:id="rId8"/>
    <sheet name=" signboard" sheetId="14" state="hidden" r:id="rId9"/>
    <sheet name="Plaza Painting" sheetId="2" r:id="rId10"/>
    <sheet name="Electric Pole painting" sheetId="20" state="hidden" r:id="rId11"/>
    <sheet name="Misc.Repairing Items" sheetId="15" r:id="rId12"/>
    <sheet name="Landscaping" sheetId="11" state="hidden" r:id="rId13"/>
    <sheet name="Toll Plaza Enam. Painting" sheetId="10" r:id="rId14"/>
    <sheet name="False Ceiling" sheetId="27" state="hidden" r:id="rId15"/>
    <sheet name="NJB" sheetId="29" r:id="rId16"/>
    <sheet name="Toll plaza Boundary" sheetId="17" r:id="rId17"/>
    <sheet name="MS Gates" sheetId="18" r:id="rId18"/>
    <sheet name=" Tiles " sheetId="21" r:id="rId19"/>
    <sheet name="Toll Plaza Canopy Painting" sheetId="31" r:id="rId20"/>
    <sheet name="Plumbing and Sanitary Items (2)" sheetId="33" r:id="rId21"/>
    <sheet name="Elec. First Floor" sheetId="34" r:id="rId22"/>
    <sheet name="Elec. Ground Floor" sheetId="35" r:id="rId23"/>
  </sheets>
  <definedNames>
    <definedName name="_xlnm._FilterDatabase" localSheetId="18" hidden="1">' Tiles '!$A$3:$J$7</definedName>
    <definedName name="_xlnm._FilterDatabase" localSheetId="10" hidden="1">'Electric Pole painting'!$A$3:$J$5</definedName>
    <definedName name="_xlnm._FilterDatabase" localSheetId="14" hidden="1">'False Ceiling'!$A$2:$J$15</definedName>
    <definedName name="_xlnm._FilterDatabase" localSheetId="9" hidden="1">'Plaza Painting'!$A$3:$J$209</definedName>
    <definedName name="_xlnm._FilterDatabase" localSheetId="7" hidden="1">'Work station and Storage. '!$A$3:$J$5</definedName>
    <definedName name="_xlnm.Print_Area" localSheetId="18">' Tiles '!$A$1:$J$37</definedName>
    <definedName name="_xlnm.Print_Area" localSheetId="6">'Booth Repairing'!$A$1:$J$8</definedName>
    <definedName name="_xlnm.Print_Area" localSheetId="0">'BOQ -FaridPur'!$A$1:$G$93</definedName>
    <definedName name="_xlnm.Print_Area" localSheetId="5">'Door Repairing ACP'!$A$1:$J$30</definedName>
    <definedName name="_xlnm.Print_Area" localSheetId="21">'Elec. First Floor'!$F$3:$K$32</definedName>
    <definedName name="_xlnm.Print_Area" localSheetId="22">'Elec. Ground Floor'!$G$1:$L$27</definedName>
    <definedName name="_xlnm.Print_Area" localSheetId="11">'Misc.Repairing Items'!$A$1:$J$33</definedName>
    <definedName name="_xlnm.Print_Area" localSheetId="4">'New Doors'!$A$1:$J$14</definedName>
    <definedName name="_xlnm.Print_Area" localSheetId="15">NJB!$A$1:$V$6</definedName>
    <definedName name="_xlnm.Print_Area" localSheetId="9">'Plaza Painting'!$L$1:$U$79,'Plaza Painting'!$A$1:$J$209</definedName>
    <definedName name="_xlnm.Print_Area" localSheetId="20">'Plumbing and Sanitary Items (2)'!$A$1:$J$17</definedName>
    <definedName name="_xlnm.Print_Area" localSheetId="13">'Toll Plaza Enam. Painting'!$A$1:$J$68</definedName>
    <definedName name="_xlnm.Print_Titles" localSheetId="0">'BOQ -FaridPur'!$2:$3</definedName>
    <definedName name="_xlnm.Print_Titles" localSheetId="13">'Toll Plaza Enam. Painting'!$1:$3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5" l="1"/>
  <c r="I31" i="15"/>
  <c r="I11" i="15"/>
  <c r="I10" i="15"/>
  <c r="I9" i="15"/>
  <c r="D29" i="23"/>
  <c r="I16" i="15"/>
  <c r="I8" i="15"/>
  <c r="C200" i="35"/>
  <c r="A190" i="35"/>
  <c r="A191" i="35"/>
  <c r="A185" i="35"/>
  <c r="A186" i="35"/>
  <c r="A187" i="35"/>
  <c r="A188" i="35"/>
  <c r="A174" i="35"/>
  <c r="A175" i="35"/>
  <c r="A176" i="35"/>
  <c r="A177" i="35"/>
  <c r="A178" i="35"/>
  <c r="A179" i="35"/>
  <c r="A180" i="35"/>
  <c r="A181" i="35"/>
  <c r="A182" i="35"/>
  <c r="A160" i="35"/>
  <c r="A161" i="35"/>
  <c r="A162" i="35"/>
  <c r="A163" i="35"/>
  <c r="A164" i="35"/>
  <c r="A165" i="35"/>
  <c r="A166" i="35"/>
  <c r="A167" i="35"/>
  <c r="A168" i="35"/>
  <c r="A169" i="35"/>
  <c r="A170" i="35"/>
  <c r="A171" i="35"/>
  <c r="A155" i="35"/>
  <c r="A156" i="35"/>
  <c r="A157" i="35"/>
  <c r="A149" i="35"/>
  <c r="A150" i="35"/>
  <c r="A151" i="35"/>
  <c r="A152" i="35"/>
  <c r="A153" i="35"/>
  <c r="A140" i="35"/>
  <c r="A141" i="35"/>
  <c r="A142" i="35"/>
  <c r="A143" i="35"/>
  <c r="A144" i="35"/>
  <c r="A145" i="35"/>
  <c r="A146" i="35"/>
  <c r="A127" i="35"/>
  <c r="A128" i="35"/>
  <c r="A129" i="35"/>
  <c r="A130" i="35"/>
  <c r="A131" i="35"/>
  <c r="A106" i="35"/>
  <c r="A107" i="35"/>
  <c r="A108" i="35"/>
  <c r="A109" i="35"/>
  <c r="A110" i="35"/>
  <c r="A111" i="35"/>
  <c r="A112" i="35"/>
  <c r="A92" i="35"/>
  <c r="A93" i="35"/>
  <c r="A94" i="35"/>
  <c r="A95" i="35"/>
  <c r="A96" i="35"/>
  <c r="A97" i="35"/>
  <c r="A98" i="35"/>
  <c r="A99" i="35"/>
  <c r="A100" i="35"/>
  <c r="A101" i="35"/>
  <c r="A102" i="35"/>
  <c r="A103" i="35"/>
  <c r="A81" i="35"/>
  <c r="A82" i="35"/>
  <c r="A83" i="35"/>
  <c r="A84" i="35"/>
  <c r="A85" i="35"/>
  <c r="A86" i="35"/>
  <c r="A87" i="35"/>
  <c r="A88" i="35"/>
  <c r="A89" i="35"/>
  <c r="A75" i="35"/>
  <c r="A76" i="35"/>
  <c r="A77" i="35"/>
  <c r="A78" i="35"/>
  <c r="A63" i="35"/>
  <c r="A64" i="35" s="1"/>
  <c r="A65" i="35" s="1"/>
  <c r="A66" i="35" s="1"/>
  <c r="A67" i="35" s="1"/>
  <c r="A56" i="35"/>
  <c r="A57" i="35"/>
  <c r="A58" i="35"/>
  <c r="A59" i="35"/>
  <c r="A60" i="35"/>
  <c r="A49" i="35"/>
  <c r="A50" i="35"/>
  <c r="A51" i="35"/>
  <c r="A52" i="35"/>
  <c r="A39" i="35"/>
  <c r="A40" i="35"/>
  <c r="A41" i="35"/>
  <c r="A42" i="35"/>
  <c r="A43" i="35"/>
  <c r="A44" i="35"/>
  <c r="A45" i="35"/>
  <c r="A46" i="35"/>
  <c r="A47" i="35"/>
  <c r="A30" i="35"/>
  <c r="A31" i="35" s="1"/>
  <c r="A32" i="35" s="1"/>
  <c r="A33" i="35" s="1"/>
  <c r="A34" i="35" s="1"/>
  <c r="A35" i="35" s="1"/>
  <c r="K27" i="35"/>
  <c r="K26" i="35"/>
  <c r="J25" i="35"/>
  <c r="K25" i="35" s="1"/>
  <c r="D85" i="23" s="1"/>
  <c r="J24" i="35"/>
  <c r="K24" i="35" s="1"/>
  <c r="K23" i="35"/>
  <c r="J22" i="35"/>
  <c r="K22" i="35" s="1"/>
  <c r="J21" i="35"/>
  <c r="K21" i="35"/>
  <c r="J20" i="35"/>
  <c r="K20" i="35" s="1"/>
  <c r="J19" i="35"/>
  <c r="K19" i="35" s="1"/>
  <c r="J18" i="35"/>
  <c r="K18" i="35" s="1"/>
  <c r="A18" i="35"/>
  <c r="A19" i="35"/>
  <c r="A20" i="35"/>
  <c r="A21" i="35"/>
  <c r="A22" i="35"/>
  <c r="A23" i="35"/>
  <c r="A24" i="35"/>
  <c r="A25" i="35"/>
  <c r="A26" i="35"/>
  <c r="A27" i="35"/>
  <c r="J17" i="35"/>
  <c r="K17" i="35" s="1"/>
  <c r="J16" i="35"/>
  <c r="K16" i="35"/>
  <c r="J15" i="35"/>
  <c r="K15" i="35"/>
  <c r="J14" i="35"/>
  <c r="K14" i="35" s="1"/>
  <c r="J13" i="35"/>
  <c r="K13" i="35"/>
  <c r="J12" i="35"/>
  <c r="K12" i="35"/>
  <c r="J11" i="35"/>
  <c r="K11" i="35"/>
  <c r="J10" i="35"/>
  <c r="K10" i="35" s="1"/>
  <c r="J9" i="35"/>
  <c r="K9" i="35"/>
  <c r="J8" i="35"/>
  <c r="K8" i="35"/>
  <c r="J7" i="35"/>
  <c r="K7" i="35"/>
  <c r="J6" i="35"/>
  <c r="K6" i="35" s="1"/>
  <c r="J5" i="35"/>
  <c r="K5" i="35"/>
  <c r="A5" i="35"/>
  <c r="A6" i="35" s="1"/>
  <c r="A7" i="35" s="1"/>
  <c r="A8" i="35" s="1"/>
  <c r="A9" i="35" s="1"/>
  <c r="A10" i="35" s="1"/>
  <c r="A11" i="35" s="1"/>
  <c r="A12" i="35" s="1"/>
  <c r="A13" i="35" s="1"/>
  <c r="A14" i="35" s="1"/>
  <c r="A15" i="35" s="1"/>
  <c r="J4" i="35"/>
  <c r="K4" i="35"/>
  <c r="J3" i="35"/>
  <c r="K3" i="35" s="1"/>
  <c r="A112" i="34"/>
  <c r="A113" i="34"/>
  <c r="A114" i="34"/>
  <c r="A115" i="34"/>
  <c r="A116" i="34"/>
  <c r="A117" i="34"/>
  <c r="A93" i="34"/>
  <c r="A94" i="34" s="1"/>
  <c r="A95" i="34" s="1"/>
  <c r="A96" i="34" s="1"/>
  <c r="A97" i="34" s="1"/>
  <c r="A98" i="34" s="1"/>
  <c r="A99" i="34" s="1"/>
  <c r="A100" i="34" s="1"/>
  <c r="A101" i="34" s="1"/>
  <c r="A102" i="34" s="1"/>
  <c r="A103" i="34" s="1"/>
  <c r="A104" i="34" s="1"/>
  <c r="A105" i="34" s="1"/>
  <c r="A106" i="34" s="1"/>
  <c r="A81" i="34"/>
  <c r="A82" i="34"/>
  <c r="A83" i="34"/>
  <c r="A84" i="34"/>
  <c r="A85" i="34"/>
  <c r="A86" i="34"/>
  <c r="A87" i="34"/>
  <c r="A88" i="34"/>
  <c r="A89" i="34"/>
  <c r="A90" i="34"/>
  <c r="A70" i="34"/>
  <c r="A71" i="34"/>
  <c r="A72" i="34"/>
  <c r="A73" i="34"/>
  <c r="A74" i="34"/>
  <c r="A75" i="34"/>
  <c r="A76" i="34"/>
  <c r="A77" i="34"/>
  <c r="A78" i="34"/>
  <c r="A57" i="34"/>
  <c r="A58" i="34"/>
  <c r="A59" i="34"/>
  <c r="A60" i="34"/>
  <c r="A61" i="34"/>
  <c r="A62" i="34"/>
  <c r="A63" i="34"/>
  <c r="A64" i="34"/>
  <c r="A65" i="34"/>
  <c r="A66" i="34"/>
  <c r="A67" i="34"/>
  <c r="J32" i="34"/>
  <c r="D91" i="23" s="1"/>
  <c r="J31" i="34"/>
  <c r="D90" i="23" s="1"/>
  <c r="J30" i="34"/>
  <c r="D89" i="23" s="1"/>
  <c r="J29" i="34"/>
  <c r="D88" i="23" s="1"/>
  <c r="I28" i="34"/>
  <c r="J28" i="34" s="1"/>
  <c r="D84" i="23" s="1"/>
  <c r="I27" i="34"/>
  <c r="J27" i="34"/>
  <c r="D83" i="23" s="1"/>
  <c r="I26" i="34"/>
  <c r="J26" i="34" s="1"/>
  <c r="D82" i="23" s="1"/>
  <c r="I25" i="34"/>
  <c r="J25" i="34"/>
  <c r="I24" i="34"/>
  <c r="J24" i="34" s="1"/>
  <c r="I23" i="34"/>
  <c r="J23" i="34"/>
  <c r="D80" i="23" s="1"/>
  <c r="I22" i="34"/>
  <c r="J22" i="34" s="1"/>
  <c r="I21" i="34"/>
  <c r="J21" i="34"/>
  <c r="D77" i="23" s="1"/>
  <c r="I20" i="34"/>
  <c r="J20" i="34" s="1"/>
  <c r="I19" i="34"/>
  <c r="J19" i="34"/>
  <c r="I18" i="34"/>
  <c r="J18" i="34" s="1"/>
  <c r="D75" i="23" s="1"/>
  <c r="I17" i="34"/>
  <c r="J17" i="34"/>
  <c r="D74" i="23" s="1"/>
  <c r="I16" i="34"/>
  <c r="J16" i="34" s="1"/>
  <c r="D73" i="23" s="1"/>
  <c r="I15" i="34"/>
  <c r="J15" i="34"/>
  <c r="D72" i="23" s="1"/>
  <c r="I14" i="34"/>
  <c r="J14" i="34" s="1"/>
  <c r="D71" i="23" s="1"/>
  <c r="I13" i="34"/>
  <c r="J13" i="34"/>
  <c r="D70" i="23" s="1"/>
  <c r="I12" i="34"/>
  <c r="J12" i="34" s="1"/>
  <c r="D69" i="23" s="1"/>
  <c r="I11" i="34"/>
  <c r="J11" i="34"/>
  <c r="D68" i="23" s="1"/>
  <c r="I10" i="34"/>
  <c r="J10" i="34" s="1"/>
  <c r="D67" i="23" s="1"/>
  <c r="I9" i="34"/>
  <c r="J9" i="34"/>
  <c r="D66" i="23" s="1"/>
  <c r="I8" i="34"/>
  <c r="J8" i="34" s="1"/>
  <c r="D87" i="23" s="1"/>
  <c r="I7" i="34"/>
  <c r="J7" i="34"/>
  <c r="D86" i="23" s="1"/>
  <c r="I6" i="34"/>
  <c r="J6" i="34" s="1"/>
  <c r="D65" i="23" s="1"/>
  <c r="I5" i="34"/>
  <c r="J5" i="34"/>
  <c r="D64" i="23" s="1"/>
  <c r="A37" i="23"/>
  <c r="A38" i="23"/>
  <c r="A39" i="23"/>
  <c r="A41" i="23"/>
  <c r="A43" i="23"/>
  <c r="A44" i="23"/>
  <c r="A45" i="23"/>
  <c r="A46" i="23"/>
  <c r="A48" i="23"/>
  <c r="A49" i="23"/>
  <c r="A50" i="23"/>
  <c r="A51" i="23"/>
  <c r="A52" i="23"/>
  <c r="A53" i="23"/>
  <c r="A54" i="23"/>
  <c r="A55" i="23"/>
  <c r="A56" i="23"/>
  <c r="A57" i="23"/>
  <c r="A58" i="23"/>
  <c r="A59" i="23"/>
  <c r="A60" i="23"/>
  <c r="A61" i="23"/>
  <c r="I17" i="33"/>
  <c r="D61" i="23" s="1"/>
  <c r="I16" i="33"/>
  <c r="I15" i="33"/>
  <c r="I14" i="33"/>
  <c r="D58" i="23" s="1"/>
  <c r="I13" i="33"/>
  <c r="D57" i="23" s="1"/>
  <c r="I12" i="33"/>
  <c r="D56" i="23" s="1"/>
  <c r="I11" i="33"/>
  <c r="D55" i="23" s="1"/>
  <c r="I10" i="33"/>
  <c r="D54" i="23" s="1"/>
  <c r="I9" i="33"/>
  <c r="D53" i="23" s="1"/>
  <c r="I8" i="33"/>
  <c r="D52" i="23" s="1"/>
  <c r="I7" i="33"/>
  <c r="D51" i="23" s="1"/>
  <c r="I6" i="33"/>
  <c r="D50" i="23" s="1"/>
  <c r="I5" i="33"/>
  <c r="D49" i="23" s="1"/>
  <c r="I4" i="33"/>
  <c r="D48" i="23" s="1"/>
  <c r="K6" i="26"/>
  <c r="K7" i="26"/>
  <c r="K8" i="26"/>
  <c r="K9" i="26"/>
  <c r="K10" i="26"/>
  <c r="K11" i="26"/>
  <c r="K12" i="26"/>
  <c r="K13" i="26"/>
  <c r="K5" i="26"/>
  <c r="K14" i="26" s="1"/>
  <c r="K5" i="30"/>
  <c r="K6" i="30"/>
  <c r="K7" i="30"/>
  <c r="K8" i="30"/>
  <c r="K9" i="30"/>
  <c r="K10" i="30"/>
  <c r="K11" i="30"/>
  <c r="K12" i="30"/>
  <c r="K13" i="30"/>
  <c r="K14" i="30"/>
  <c r="K15" i="30"/>
  <c r="K16" i="30"/>
  <c r="K17" i="30"/>
  <c r="K18" i="30"/>
  <c r="K19" i="30"/>
  <c r="K20" i="30"/>
  <c r="K21" i="30"/>
  <c r="K22" i="30"/>
  <c r="K23" i="30"/>
  <c r="K24" i="30"/>
  <c r="K25" i="30"/>
  <c r="K26" i="30"/>
  <c r="K27" i="30"/>
  <c r="K28" i="30"/>
  <c r="K29" i="30"/>
  <c r="K4" i="30"/>
  <c r="K30" i="30" s="1"/>
  <c r="I4" i="30"/>
  <c r="I5" i="30"/>
  <c r="I6" i="30"/>
  <c r="I7" i="30"/>
  <c r="I8" i="30"/>
  <c r="I9" i="30"/>
  <c r="I10" i="30"/>
  <c r="I11" i="30"/>
  <c r="I12" i="30"/>
  <c r="I13" i="30"/>
  <c r="I14" i="30"/>
  <c r="I15" i="30"/>
  <c r="I16" i="30"/>
  <c r="I17" i="30"/>
  <c r="I18" i="30"/>
  <c r="I19" i="30"/>
  <c r="I20" i="30"/>
  <c r="I21" i="30"/>
  <c r="I22" i="30"/>
  <c r="I23" i="30"/>
  <c r="I24" i="30"/>
  <c r="I25" i="30"/>
  <c r="I26" i="30"/>
  <c r="I27" i="30"/>
  <c r="I28" i="30"/>
  <c r="I29" i="30"/>
  <c r="I30" i="30"/>
  <c r="A9" i="23"/>
  <c r="A10" i="23"/>
  <c r="A11" i="23"/>
  <c r="A12" i="23"/>
  <c r="A14" i="23"/>
  <c r="A15" i="23"/>
  <c r="A17" i="23"/>
  <c r="A18" i="23"/>
  <c r="A19" i="23"/>
  <c r="A20" i="23"/>
  <c r="A21" i="23"/>
  <c r="A22" i="23"/>
  <c r="I45" i="5"/>
  <c r="I44" i="5"/>
  <c r="I42" i="5"/>
  <c r="I41" i="5"/>
  <c r="I39" i="5"/>
  <c r="I37" i="5"/>
  <c r="I36" i="5"/>
  <c r="I35" i="5"/>
  <c r="I10" i="3"/>
  <c r="F5" i="3"/>
  <c r="I5" i="3" s="1"/>
  <c r="E20" i="6"/>
  <c r="D18" i="31"/>
  <c r="H18" i="31"/>
  <c r="D17" i="31"/>
  <c r="H17" i="31"/>
  <c r="H16" i="31"/>
  <c r="D15" i="31"/>
  <c r="H15" i="31"/>
  <c r="D13" i="31"/>
  <c r="H13" i="31"/>
  <c r="D11" i="31"/>
  <c r="H11" i="31"/>
  <c r="D10" i="31"/>
  <c r="H10" i="31"/>
  <c r="F7" i="31"/>
  <c r="E7" i="31"/>
  <c r="H7" i="31" s="1"/>
  <c r="D6" i="31"/>
  <c r="H6" i="31"/>
  <c r="F5" i="31"/>
  <c r="D5" i="31"/>
  <c r="H5" i="31"/>
  <c r="H8" i="31"/>
  <c r="I10" i="14"/>
  <c r="I6" i="14"/>
  <c r="I11" i="2"/>
  <c r="I20" i="2"/>
  <c r="I21" i="2"/>
  <c r="I26" i="2"/>
  <c r="I32" i="2"/>
  <c r="I33" i="2"/>
  <c r="I34" i="2"/>
  <c r="I35" i="2"/>
  <c r="I42" i="2"/>
  <c r="I43" i="2"/>
  <c r="I44" i="2"/>
  <c r="I45" i="2"/>
  <c r="I52" i="2"/>
  <c r="I71" i="2"/>
  <c r="I79" i="2"/>
  <c r="I85" i="2"/>
  <c r="I94" i="2"/>
  <c r="H101" i="2"/>
  <c r="I101" i="2"/>
  <c r="H108" i="2"/>
  <c r="I108" i="2"/>
  <c r="I115" i="2"/>
  <c r="I120" i="2"/>
  <c r="I125" i="2"/>
  <c r="I136" i="2"/>
  <c r="I143" i="2"/>
  <c r="I156" i="2"/>
  <c r="I164" i="2"/>
  <c r="E170" i="2"/>
  <c r="I170" i="2"/>
  <c r="E177" i="2"/>
  <c r="I177" i="2"/>
  <c r="I29" i="15"/>
  <c r="D34" i="23"/>
  <c r="F35" i="21"/>
  <c r="F36" i="21"/>
  <c r="F28" i="15"/>
  <c r="D33" i="23"/>
  <c r="I35" i="21"/>
  <c r="I36" i="21"/>
  <c r="I37" i="21"/>
  <c r="N68" i="10"/>
  <c r="N67" i="10"/>
  <c r="Q66" i="10"/>
  <c r="N66" i="10"/>
  <c r="I208" i="2"/>
  <c r="I207" i="2"/>
  <c r="F64" i="10"/>
  <c r="I64" i="10"/>
  <c r="I52" i="10"/>
  <c r="I51" i="10"/>
  <c r="I50" i="10"/>
  <c r="I49" i="10"/>
  <c r="I48" i="10"/>
  <c r="I47" i="10"/>
  <c r="I58" i="10"/>
  <c r="I57" i="10"/>
  <c r="I56" i="10"/>
  <c r="I55" i="10"/>
  <c r="I54" i="10"/>
  <c r="I59" i="10"/>
  <c r="E171" i="2"/>
  <c r="I171" i="2"/>
  <c r="E172" i="2"/>
  <c r="I172" i="2"/>
  <c r="E169" i="2"/>
  <c r="I169" i="2"/>
  <c r="E168" i="2"/>
  <c r="I168" i="2"/>
  <c r="E167" i="2"/>
  <c r="I167" i="2"/>
  <c r="E13" i="10"/>
  <c r="E11" i="10"/>
  <c r="I11" i="10"/>
  <c r="E10" i="10"/>
  <c r="I10" i="10"/>
  <c r="E9" i="10"/>
  <c r="I9" i="10"/>
  <c r="E8" i="10"/>
  <c r="I8" i="10"/>
  <c r="E7" i="10"/>
  <c r="I7" i="10"/>
  <c r="E6" i="10"/>
  <c r="I6" i="10"/>
  <c r="E26" i="10"/>
  <c r="E25" i="10"/>
  <c r="I25" i="10"/>
  <c r="F26" i="10"/>
  <c r="I26" i="10" s="1"/>
  <c r="I24" i="10"/>
  <c r="I27" i="10" s="1"/>
  <c r="H19" i="10"/>
  <c r="I19" i="10"/>
  <c r="H20" i="10"/>
  <c r="I20" i="10"/>
  <c r="P54" i="2"/>
  <c r="T54" i="2"/>
  <c r="P53" i="2"/>
  <c r="T53" i="2"/>
  <c r="P52" i="2"/>
  <c r="T52" i="2"/>
  <c r="P51" i="2"/>
  <c r="T51" i="2"/>
  <c r="P50" i="2"/>
  <c r="T50" i="2"/>
  <c r="P49" i="2"/>
  <c r="T49" i="2"/>
  <c r="P48" i="2"/>
  <c r="T48" i="2"/>
  <c r="P47" i="2"/>
  <c r="T47" i="2"/>
  <c r="I33" i="5"/>
  <c r="I31" i="5"/>
  <c r="I29" i="5"/>
  <c r="I28" i="5"/>
  <c r="I26" i="5"/>
  <c r="I25" i="5"/>
  <c r="I23" i="5"/>
  <c r="I22" i="5"/>
  <c r="I20" i="5"/>
  <c r="I18" i="5"/>
  <c r="I16" i="5"/>
  <c r="I13" i="5"/>
  <c r="I11" i="5"/>
  <c r="I9" i="5"/>
  <c r="I8" i="5"/>
  <c r="I6" i="5"/>
  <c r="I46" i="5" s="1"/>
  <c r="D8" i="23" s="1"/>
  <c r="D24" i="23"/>
  <c r="I15" i="27"/>
  <c r="I13" i="27"/>
  <c r="I11" i="27"/>
  <c r="I9" i="27"/>
  <c r="I7" i="27"/>
  <c r="I5" i="27"/>
  <c r="I16" i="27"/>
  <c r="I31" i="21"/>
  <c r="I32" i="21"/>
  <c r="I29" i="21"/>
  <c r="I30" i="21"/>
  <c r="F28" i="21"/>
  <c r="I28" i="21"/>
  <c r="I33" i="21"/>
  <c r="D46" i="23"/>
  <c r="I24" i="21"/>
  <c r="I23" i="21"/>
  <c r="I22" i="21"/>
  <c r="I21" i="21"/>
  <c r="I20" i="21"/>
  <c r="I19" i="21"/>
  <c r="I25" i="21"/>
  <c r="D44" i="23"/>
  <c r="I15" i="21"/>
  <c r="I16" i="21"/>
  <c r="D45" i="23"/>
  <c r="I11" i="21"/>
  <c r="I10" i="21"/>
  <c r="I9" i="21"/>
  <c r="I8" i="21"/>
  <c r="U5" i="29"/>
  <c r="V5" i="29"/>
  <c r="U4" i="29"/>
  <c r="V4" i="29"/>
  <c r="U3" i="29"/>
  <c r="V3" i="29"/>
  <c r="V6" i="29"/>
  <c r="I5" i="29"/>
  <c r="G4" i="29"/>
  <c r="I4" i="29"/>
  <c r="E14" i="26"/>
  <c r="I13" i="26"/>
  <c r="I12" i="26"/>
  <c r="I11" i="26"/>
  <c r="I10" i="26"/>
  <c r="I9" i="26"/>
  <c r="I8" i="26"/>
  <c r="I7" i="26"/>
  <c r="I6" i="26"/>
  <c r="I5" i="26"/>
  <c r="I14" i="26"/>
  <c r="D9" i="23" s="1"/>
  <c r="I6" i="6"/>
  <c r="I7" i="6"/>
  <c r="I8" i="6"/>
  <c r="I9" i="6"/>
  <c r="I10" i="6"/>
  <c r="I11" i="6"/>
  <c r="I12" i="6"/>
  <c r="I13" i="6"/>
  <c r="I14" i="6"/>
  <c r="I15" i="6"/>
  <c r="I16" i="6"/>
  <c r="I17" i="6"/>
  <c r="I18" i="6"/>
  <c r="I19" i="6"/>
  <c r="I5" i="6"/>
  <c r="I20" i="6" s="1"/>
  <c r="D12" i="23"/>
  <c r="Q21" i="8"/>
  <c r="Q22" i="8"/>
  <c r="Q20" i="8"/>
  <c r="Q23" i="8"/>
  <c r="Q18" i="8"/>
  <c r="Q17" i="8"/>
  <c r="Q16" i="8"/>
  <c r="Q19" i="8" s="1"/>
  <c r="Q10" i="8"/>
  <c r="Q9" i="8"/>
  <c r="Q11" i="8"/>
  <c r="I7" i="8" s="1"/>
  <c r="S8" i="8"/>
  <c r="D15" i="23"/>
  <c r="Q5" i="8"/>
  <c r="R6" i="8" s="1"/>
  <c r="I6" i="8" s="1"/>
  <c r="Q4" i="8"/>
  <c r="Q8" i="8"/>
  <c r="Q3" i="8"/>
  <c r="I13" i="22"/>
  <c r="I14" i="22"/>
  <c r="I10" i="22"/>
  <c r="I9" i="22"/>
  <c r="I11" i="22"/>
  <c r="I6" i="22"/>
  <c r="M5" i="22"/>
  <c r="I5" i="22"/>
  <c r="I7" i="22" s="1"/>
  <c r="E6" i="11"/>
  <c r="I6" i="11"/>
  <c r="I6" i="21"/>
  <c r="I7" i="21"/>
  <c r="I5" i="21"/>
  <c r="I5" i="20"/>
  <c r="I16" i="18"/>
  <c r="I17" i="18"/>
  <c r="I18" i="18"/>
  <c r="I15" i="18"/>
  <c r="I19" i="18" s="1"/>
  <c r="D41" i="23" s="1"/>
  <c r="E7" i="18"/>
  <c r="I7" i="18"/>
  <c r="I8" i="18"/>
  <c r="D27" i="23" s="1"/>
  <c r="E9" i="18"/>
  <c r="I9" i="18"/>
  <c r="E10" i="18"/>
  <c r="I10" i="18" s="1"/>
  <c r="E5" i="18"/>
  <c r="I5" i="18"/>
  <c r="I6" i="18"/>
  <c r="I8" i="3"/>
  <c r="I6" i="17"/>
  <c r="D39" i="23"/>
  <c r="I5" i="17"/>
  <c r="D38" i="23"/>
  <c r="I4" i="17"/>
  <c r="D37" i="23"/>
  <c r="A5" i="17"/>
  <c r="I9" i="11"/>
  <c r="E24" i="15"/>
  <c r="I24" i="15"/>
  <c r="D35" i="23"/>
  <c r="I19" i="15"/>
  <c r="E205" i="2"/>
  <c r="I205" i="2"/>
  <c r="I204" i="2"/>
  <c r="I203" i="2"/>
  <c r="E201" i="2"/>
  <c r="I201" i="2"/>
  <c r="E200" i="2"/>
  <c r="I200" i="2"/>
  <c r="I36" i="2"/>
  <c r="I199" i="2"/>
  <c r="T14" i="2"/>
  <c r="T13" i="2"/>
  <c r="T12" i="2"/>
  <c r="T11" i="2"/>
  <c r="T10" i="2"/>
  <c r="Q9" i="2"/>
  <c r="T9" i="2"/>
  <c r="Q8" i="2"/>
  <c r="T8" i="2"/>
  <c r="T7" i="2"/>
  <c r="I66" i="2"/>
  <c r="I65" i="2"/>
  <c r="I64" i="2"/>
  <c r="I62" i="2"/>
  <c r="I60" i="2"/>
  <c r="I59" i="2"/>
  <c r="I58" i="2"/>
  <c r="I56" i="2"/>
  <c r="I55" i="2"/>
  <c r="I54" i="2"/>
  <c r="I31" i="2"/>
  <c r="I25" i="2"/>
  <c r="I24" i="2"/>
  <c r="I27" i="2"/>
  <c r="I19" i="2"/>
  <c r="I9" i="2"/>
  <c r="I23" i="2"/>
  <c r="H13" i="2"/>
  <c r="I13" i="2"/>
  <c r="H8" i="2"/>
  <c r="I8" i="2"/>
  <c r="I23" i="15"/>
  <c r="I22" i="15"/>
  <c r="I197" i="2"/>
  <c r="E194" i="2"/>
  <c r="I194" i="2"/>
  <c r="E196" i="2"/>
  <c r="I196" i="2"/>
  <c r="E195" i="2"/>
  <c r="I195" i="2"/>
  <c r="F193" i="2"/>
  <c r="E193" i="2"/>
  <c r="I193" i="2"/>
  <c r="E192" i="2"/>
  <c r="I192" i="2"/>
  <c r="E191" i="2"/>
  <c r="F191" i="2"/>
  <c r="I191" i="2"/>
  <c r="E190" i="2"/>
  <c r="F190" i="2"/>
  <c r="I190" i="2" s="1"/>
  <c r="E189" i="2"/>
  <c r="I189" i="2"/>
  <c r="E187" i="2"/>
  <c r="I187" i="2"/>
  <c r="E186" i="2"/>
  <c r="I186" i="2"/>
  <c r="E185" i="2"/>
  <c r="I185" i="2"/>
  <c r="E184" i="2"/>
  <c r="I184" i="2"/>
  <c r="E183" i="2"/>
  <c r="I183" i="2"/>
  <c r="F181" i="2"/>
  <c r="E188" i="2"/>
  <c r="I188" i="2"/>
  <c r="E182" i="2"/>
  <c r="I182" i="2"/>
  <c r="E181" i="2"/>
  <c r="P78" i="2"/>
  <c r="T78" i="2"/>
  <c r="P77" i="2"/>
  <c r="T77" i="2"/>
  <c r="P76" i="2"/>
  <c r="T76" i="2"/>
  <c r="P75" i="2"/>
  <c r="T75" i="2"/>
  <c r="P74" i="2"/>
  <c r="T74" i="2"/>
  <c r="P73" i="2"/>
  <c r="T73" i="2"/>
  <c r="P72" i="2"/>
  <c r="T72" i="2"/>
  <c r="P71" i="2"/>
  <c r="T71" i="2"/>
  <c r="P70" i="2"/>
  <c r="T70" i="2"/>
  <c r="P69" i="2"/>
  <c r="T69" i="2"/>
  <c r="P68" i="2"/>
  <c r="T68" i="2"/>
  <c r="P67" i="2"/>
  <c r="T67" i="2"/>
  <c r="P66" i="2"/>
  <c r="T66" i="2"/>
  <c r="P65" i="2"/>
  <c r="T65" i="2"/>
  <c r="P64" i="2"/>
  <c r="T64" i="2"/>
  <c r="P63" i="2"/>
  <c r="T63" i="2"/>
  <c r="P61" i="2"/>
  <c r="T61" i="2"/>
  <c r="P60" i="2"/>
  <c r="T60" i="2"/>
  <c r="P59" i="2"/>
  <c r="T59" i="2"/>
  <c r="P58" i="2"/>
  <c r="T58" i="2"/>
  <c r="P57" i="2"/>
  <c r="T57" i="2"/>
  <c r="P56" i="2"/>
  <c r="T56" i="2"/>
  <c r="E179" i="2"/>
  <c r="I179" i="2"/>
  <c r="E178" i="2"/>
  <c r="I178" i="2"/>
  <c r="E176" i="2"/>
  <c r="I176" i="2"/>
  <c r="E175" i="2"/>
  <c r="I175" i="2"/>
  <c r="E174" i="2"/>
  <c r="I174" i="2"/>
  <c r="I18" i="15"/>
  <c r="I14" i="15"/>
  <c r="I16" i="10"/>
  <c r="F15" i="10"/>
  <c r="I15" i="10"/>
  <c r="I45" i="10"/>
  <c r="I44" i="10"/>
  <c r="I43" i="10"/>
  <c r="I42" i="10"/>
  <c r="I41" i="10"/>
  <c r="I40" i="10"/>
  <c r="I5" i="15"/>
  <c r="I6" i="15"/>
  <c r="H163" i="2"/>
  <c r="F163" i="2"/>
  <c r="I165" i="2"/>
  <c r="I162" i="2"/>
  <c r="I161" i="2"/>
  <c r="I159" i="2"/>
  <c r="I158" i="2"/>
  <c r="I157" i="2"/>
  <c r="I155" i="2"/>
  <c r="I154" i="2"/>
  <c r="I153" i="2"/>
  <c r="I152" i="2"/>
  <c r="I151" i="2"/>
  <c r="T45" i="2"/>
  <c r="T44" i="2"/>
  <c r="T43" i="2"/>
  <c r="T42" i="2"/>
  <c r="T41" i="2"/>
  <c r="T39" i="2"/>
  <c r="T38" i="2"/>
  <c r="T34" i="2"/>
  <c r="T32" i="2"/>
  <c r="T37" i="2"/>
  <c r="T33" i="2"/>
  <c r="T36" i="2"/>
  <c r="T35" i="2"/>
  <c r="T31" i="2"/>
  <c r="T30" i="2"/>
  <c r="T28" i="2"/>
  <c r="T27" i="2"/>
  <c r="I145" i="2"/>
  <c r="I149" i="2"/>
  <c r="I148" i="2"/>
  <c r="I147" i="2"/>
  <c r="I146" i="2"/>
  <c r="I140" i="2"/>
  <c r="I141" i="2"/>
  <c r="T18" i="2"/>
  <c r="I142" i="2"/>
  <c r="I139" i="2"/>
  <c r="I138" i="2"/>
  <c r="T25" i="2"/>
  <c r="T24" i="2"/>
  <c r="T23" i="2"/>
  <c r="T22" i="2"/>
  <c r="I133" i="2"/>
  <c r="I135" i="2"/>
  <c r="I134" i="2"/>
  <c r="I132" i="2"/>
  <c r="I131" i="2"/>
  <c r="T20" i="2"/>
  <c r="F35" i="10"/>
  <c r="I35" i="10"/>
  <c r="D22" i="23"/>
  <c r="F17" i="10"/>
  <c r="I17" i="10"/>
  <c r="F14" i="10"/>
  <c r="I14" i="10"/>
  <c r="I8" i="11"/>
  <c r="I7" i="11"/>
  <c r="I5" i="11"/>
  <c r="I8" i="14"/>
  <c r="I9" i="14"/>
  <c r="I5" i="14"/>
  <c r="I4" i="14"/>
  <c r="H22" i="10"/>
  <c r="I22" i="10"/>
  <c r="F21" i="10"/>
  <c r="I21" i="10"/>
  <c r="I23" i="10" s="1"/>
  <c r="I127" i="2"/>
  <c r="I124" i="2"/>
  <c r="I123" i="2"/>
  <c r="I122" i="2"/>
  <c r="I121" i="2"/>
  <c r="I119" i="2"/>
  <c r="I118" i="2"/>
  <c r="I117" i="2"/>
  <c r="I116" i="2"/>
  <c r="I107" i="2"/>
  <c r="I106" i="2"/>
  <c r="I105" i="2"/>
  <c r="I104" i="2"/>
  <c r="I103" i="2"/>
  <c r="I100" i="2"/>
  <c r="I99" i="2"/>
  <c r="I98" i="2"/>
  <c r="I97" i="2"/>
  <c r="I96" i="2"/>
  <c r="I114" i="2"/>
  <c r="I113" i="2"/>
  <c r="I112" i="2"/>
  <c r="I111" i="2"/>
  <c r="I110" i="2"/>
  <c r="F91" i="2"/>
  <c r="I91" i="2"/>
  <c r="I90" i="2"/>
  <c r="I89" i="2"/>
  <c r="F88" i="2"/>
  <c r="I88" i="2"/>
  <c r="I77" i="2"/>
  <c r="F75" i="2"/>
  <c r="I75" i="2"/>
  <c r="F31" i="10"/>
  <c r="I31" i="10"/>
  <c r="D21" i="23"/>
  <c r="F13" i="10"/>
  <c r="I13" i="10" s="1"/>
  <c r="I7" i="3"/>
  <c r="T19" i="2"/>
  <c r="T17" i="2"/>
  <c r="T16" i="2"/>
  <c r="T6" i="2"/>
  <c r="T5" i="2"/>
  <c r="I129" i="2"/>
  <c r="I128" i="2"/>
  <c r="I126" i="2"/>
  <c r="I109" i="2"/>
  <c r="I93" i="2"/>
  <c r="I92" i="2"/>
  <c r="I87" i="2"/>
  <c r="I84" i="2"/>
  <c r="I83" i="2"/>
  <c r="I82" i="2"/>
  <c r="I81" i="2"/>
  <c r="I78" i="2"/>
  <c r="I76" i="2"/>
  <c r="I72" i="2"/>
  <c r="I70" i="2"/>
  <c r="I69" i="2"/>
  <c r="I68" i="2"/>
  <c r="I67" i="2"/>
  <c r="I51" i="2"/>
  <c r="I50" i="2"/>
  <c r="I49" i="2"/>
  <c r="I48" i="2"/>
  <c r="I47" i="2"/>
  <c r="I46" i="2"/>
  <c r="I41" i="2"/>
  <c r="I40" i="2"/>
  <c r="I39" i="2"/>
  <c r="I38" i="2"/>
  <c r="I30" i="2"/>
  <c r="I29" i="2"/>
  <c r="I28" i="2"/>
  <c r="I18" i="2"/>
  <c r="I17" i="2"/>
  <c r="I16" i="2"/>
  <c r="I15" i="2"/>
  <c r="I14" i="2"/>
  <c r="I12" i="2"/>
  <c r="I10" i="2"/>
  <c r="I7" i="2"/>
  <c r="I6" i="2"/>
  <c r="I163" i="2"/>
  <c r="I181" i="2"/>
  <c r="I12" i="21"/>
  <c r="D43" i="23"/>
  <c r="T79" i="2"/>
  <c r="D18" i="23"/>
  <c r="S7" i="8"/>
  <c r="D14" i="23"/>
  <c r="I46" i="10"/>
  <c r="N70" i="10"/>
  <c r="F66" i="10"/>
  <c r="I66" i="10"/>
  <c r="I67" i="10"/>
  <c r="I53" i="10"/>
  <c r="I12" i="10"/>
  <c r="I18" i="10"/>
  <c r="I28" i="10"/>
  <c r="D19" i="23"/>
  <c r="I60" i="10"/>
  <c r="D20" i="23"/>
  <c r="D31" i="23"/>
  <c r="I20" i="15"/>
  <c r="D26" i="23"/>
  <c r="D81" i="23" l="1"/>
  <c r="D76" i="23"/>
  <c r="I209" i="2"/>
  <c r="D17" i="23" s="1"/>
  <c r="I12" i="18"/>
  <c r="I13" i="18" s="1"/>
  <c r="D30" i="23" s="1"/>
  <c r="I11" i="18"/>
  <c r="D28" i="23" s="1"/>
  <c r="I11" i="3"/>
  <c r="D6" i="23" s="1"/>
  <c r="D10" i="23"/>
  <c r="D79" i="23"/>
  <c r="D78" i="23"/>
  <c r="D25" i="23" l="1"/>
</calcChain>
</file>

<file path=xl/sharedStrings.xml><?xml version="1.0" encoding="utf-8"?>
<sst xmlns="http://schemas.openxmlformats.org/spreadsheetml/2006/main" count="2638" uniqueCount="642">
  <si>
    <t xml:space="preserve">Sitapur -Bareilly NH-30 PROJECT </t>
  </si>
  <si>
    <t>BILL OF QUANTITIES(BOQ) - Faridpur Toll Plaza Renovation</t>
  </si>
  <si>
    <t>S.No</t>
  </si>
  <si>
    <t xml:space="preserve">Description of work </t>
  </si>
  <si>
    <t xml:space="preserve">Unit </t>
  </si>
  <si>
    <t xml:space="preserve">Quantity </t>
  </si>
  <si>
    <t>Rate</t>
  </si>
  <si>
    <t>Amount 
(Rs.)</t>
  </si>
  <si>
    <t xml:space="preserve">Remarks </t>
  </si>
  <si>
    <t>ADMIN BUILDING:</t>
  </si>
  <si>
    <t>Partition Wall</t>
  </si>
  <si>
    <r>
      <t>This item includes the</t>
    </r>
    <r>
      <rPr>
        <b/>
        <u/>
        <sz val="10"/>
        <color indexed="8"/>
        <rFont val="Poppins"/>
      </rPr>
      <t xml:space="preserve"> supply, fabrication, and installation of Heavy duty aluminum (100mmx 50mmx 3mm) Partion Wall</t>
    </r>
    <r>
      <rPr>
        <sz val="10"/>
        <color indexed="8"/>
        <rFont val="Poppins"/>
      </rPr>
      <t xml:space="preserve"> comprising frames and shutters, as per the approved architectural and engineering drawings. Aluminum sections shall conform to IS 733 and IS 1285, made from grade 6063 T5, and black powder-coated to a minimum thickness of 50 microns. EPDM rubber/neoprene gaskets and silicon sealants, as per IS 15477, shall be used for sealing and water resistance at all junctions. 6mm thick float glass panelling shall be used for panneling work. The make for aluminum sections shall be or equivalent to Jindal or Hindalco standard sections. In case the material is procured from a manufacturer other than Jindal or Hindalco, approval shall be sought from the Engineer-in-Charge, and any material benefit should be passed on to the client. Frames and shutters shall be fixed using dash fasteners and stainless steel screws. Accessories like cleat angles, aluminum beading, heavy-duty 5" hinges (3 numbers), tower bolts, door locks, door handles, glass Panel are included in the rate. All work complete in all respect. Fabrication shall begin only after approval of shop drawings by the Engineer-in-Charge. Measurement and Payment will be based on Sqm Basis</t>
    </r>
  </si>
  <si>
    <t>Sqm</t>
  </si>
  <si>
    <t>Aluminium partition</t>
  </si>
  <si>
    <t>Doors and Windows</t>
  </si>
  <si>
    <r>
      <rPr>
        <b/>
        <u/>
        <sz val="10"/>
        <color indexed="8"/>
        <rFont val="Poppins"/>
      </rPr>
      <t>Repairing, Replacement of Existing aluminum doors, windows, and ventilators aluminum</t>
    </r>
    <r>
      <rPr>
        <sz val="10"/>
        <color indexed="8"/>
        <rFont val="Poppins"/>
      </rPr>
      <t xml:space="preserve"> section. Replacement of aluminum section shall be matched with existing existing aluminum section. The work shall be including of removal of exsting damed alumunim section, fixing of new aluminum section, replacement of existing EPDM rubber, replacement of damaged cleat angles, aluminum beading, hinges, tower bolts, window locks, handles if any required shall be including in the rate.
Payment will be based on the sqm, sqm shall be calcuated in opening portion of Doors and windows. </t>
    </r>
  </si>
  <si>
    <t>Repair of Door &amp; Window</t>
  </si>
  <si>
    <r>
      <t xml:space="preserve">This item includes the </t>
    </r>
    <r>
      <rPr>
        <b/>
        <u/>
        <sz val="10"/>
        <color indexed="8"/>
        <rFont val="Poppins"/>
      </rPr>
      <t>supply, fabrication, and installation of Heavy duty aluminum</t>
    </r>
    <r>
      <rPr>
        <sz val="10"/>
        <color indexed="8"/>
        <rFont val="Poppins"/>
      </rPr>
      <t xml:space="preserve"> (100mmx 50mmx 3mm) </t>
    </r>
    <r>
      <rPr>
        <b/>
        <u/>
        <sz val="10"/>
        <color indexed="8"/>
        <rFont val="Poppins"/>
      </rPr>
      <t xml:space="preserve">aluminum doors, windows, and ventilators, </t>
    </r>
    <r>
      <rPr>
        <sz val="10"/>
        <color indexed="8"/>
        <rFont val="Poppins"/>
      </rPr>
      <t xml:space="preserve">comprising frames and shutters, as per the approved architectural and engineering drawings. Aluminum sections shall conform to IS 733 and IS 1285, made from grade 6063 T5, and black powder-coated to a minimum thickness of 50 microns. EPDM rubber/neoprene gaskets and silicon sealants, as per IS 15477, shall be used for sealing and water resistance at all junctions. </t>
    </r>
    <r>
      <rPr>
        <b/>
        <u/>
        <sz val="10"/>
        <color indexed="8"/>
        <rFont val="Poppins"/>
      </rPr>
      <t>6mm thick float glass panelling</t>
    </r>
    <r>
      <rPr>
        <sz val="10"/>
        <color indexed="8"/>
        <rFont val="Poppins"/>
      </rPr>
      <t xml:space="preserve"> shall be used for panneling work. The make for aluminum sections shall be or equivalent to Jindal or Hindalco standard sections. In case the material is procured from a manufacturer other than Jindal or Hindalco, approval shall be sought from the Engineer-in-Charge, and any material benefit should be passed on to the client. Frames and shutters shall be fixed using dash fasteners and stainless steel screws. Accessories like cleat angles, aluminum beading, heavy-duty 5" hinges (3 numbers), tower bolts, door locks, door handles, glass Panel are included in the rate.This item also covers the r</t>
    </r>
    <r>
      <rPr>
        <b/>
        <u/>
        <sz val="10"/>
        <color indexed="8"/>
        <rFont val="Poppins"/>
      </rPr>
      <t>eplacement of damaged aluminum doors, windows, and ventilators,</t>
    </r>
    <r>
      <rPr>
        <sz val="10"/>
        <color indexed="8"/>
        <rFont val="Poppins"/>
      </rPr>
      <t xml:space="preserve"> with no extra payment for dismantling or stacking materials within the premises. All work complete in all respect. Fabrication shall begin only after approval of shop drawings by the E</t>
    </r>
    <r>
      <rPr>
        <sz val="11"/>
        <color indexed="8"/>
        <rFont val="Poppins"/>
      </rPr>
      <t>ngi</t>
    </r>
    <r>
      <rPr>
        <sz val="10"/>
        <color indexed="8"/>
        <rFont val="Poppins"/>
      </rPr>
      <t>neer-in-Charge. Measurement and Payment will be based on Sqm Basis</t>
    </r>
  </si>
  <si>
    <t>New Door</t>
  </si>
  <si>
    <r>
      <t xml:space="preserve">Supply and fixing the </t>
    </r>
    <r>
      <rPr>
        <b/>
        <u/>
        <sz val="10"/>
        <color indexed="8"/>
        <rFont val="Poppins"/>
      </rPr>
      <t>granite stone of approved shade for jambs/cills of doors &amp; windows of the builin</t>
    </r>
    <r>
      <rPr>
        <b/>
        <sz val="10"/>
        <color indexed="8"/>
        <rFont val="Poppins"/>
      </rPr>
      <t>g</t>
    </r>
    <r>
      <rPr>
        <sz val="10"/>
        <color indexed="8"/>
        <rFont val="Poppins"/>
      </rPr>
      <t>(location specified  herein below),complete in all respects with finishing work, as per the direction of the engineer in charge.
Specifications:
- Material: 18mm thick granite stone
- Width: 1 foot (approximately 305 mm)
Locations:
- All doors: head and jamb (3 sides)
- All windows: Cill, jamb, and head (4 sides)
Inclusions:
- Supply of granite stone in approved shade.
- Cutting and shaping of stone to fit the specified locations.
- Fixing of stone at the specified locations.
- Completing all necessary finishing work.
-2mm Chamfering of open edges.</t>
    </r>
  </si>
  <si>
    <t>Rmt</t>
  </si>
  <si>
    <t>Providing and fixing of Automatic door closer with approved good quality of brand etc., (Brand : Godrej)</t>
  </si>
  <si>
    <t>Nos</t>
  </si>
  <si>
    <t>Door Closer</t>
  </si>
  <si>
    <t>All charges for providing and fixing of vertical executive curtains with scope including manpower , machinaries , tools &amp; tackles , transportations etc.,</t>
  </si>
  <si>
    <t>Curtains</t>
  </si>
  <si>
    <t>II</t>
  </si>
  <si>
    <t xml:space="preserve">Toll Booths: </t>
  </si>
  <si>
    <t xml:space="preserve">Replacement of Existing ACP with 4mm ACP sheet at Toll Booth. The work including of supply and fixing of new ACP sheet, Removal of existing ACP sheet, all work complete </t>
  </si>
  <si>
    <t>Booth ACP Sheet</t>
  </si>
  <si>
    <r>
      <t xml:space="preserve">Replacement of </t>
    </r>
    <r>
      <rPr>
        <b/>
        <u/>
        <sz val="10"/>
        <color indexed="8"/>
        <rFont val="Poppins"/>
      </rPr>
      <t>6mm Toughened Glass and Repair of Aluminium Frame for Toll Plaza Booth Window</t>
    </r>
    <r>
      <rPr>
        <sz val="10"/>
        <color indexed="8"/>
        <rFont val="Poppins"/>
      </rPr>
      <t xml:space="preserve">
This item covers the replacement of a 10mm thick toughened glass pane and the repair of the aluminium frame for a toll plaza booth window. The glass shall be of IS 2553 (Part 2) compliant quality, assumed to be 1.5m x 1.5m in size, fixed using silicone sealant and appropriate fasteners. The damaged aluminium section will be replaced with Grade 6063 or equivalent aluminium as per IS 733, with welding, grinding, and finishing of the frame to ensure strength and stability. The work includes necessary labor, scaffolding, and the cleaning of the glass after installation. Transport and handling costs for materials and access equipment are included, assuming typical site conditions and access for the work. Payment will be based on the sqm basis of windows replaced. Any variation in glass size or frame profile will be addressed through mutual agreement. This item excludes additional work such as replacement of other frames or glass beyond the specified scope. All work will conform to IS 2553 and IS 733, and the installation will follow standard practices for toll booth windows in India. The unit of measurement is Sqm with all materials, labor, and transportation included.</t>
    </r>
  </si>
  <si>
    <t>Booth Toughened Glass</t>
  </si>
  <si>
    <t>III</t>
  </si>
  <si>
    <t xml:space="preserve">PAINTING WORKS: </t>
  </si>
  <si>
    <r>
      <rPr>
        <b/>
        <u/>
        <sz val="10"/>
        <color indexed="8"/>
        <rFont val="Poppins"/>
      </rPr>
      <t>Providing and Applying Primer, Putty, and Emulsion Paint to Interior Surfaces (Building)</t>
    </r>
    <r>
      <rPr>
        <sz val="10"/>
        <color indexed="8"/>
        <rFont val="Poppins"/>
      </rPr>
      <t xml:space="preserve">
This item covers the preparation and application of 1 coat of putty (1mm thickness), 1 coat of primer, and 2 coats of Apcolite Premium Emulsion or an equivalent emulsion paint in the approved shade ( off-white with blue bands) to the interior surfaces of the building. The work includes thorough cleaning of the surface to remove dirt, dust, oil, grease, efflorescence, and any other contaminants. After cleaning, the surface will be treated with 1mm thick putty to smoothen the surface, followed by the application of a coat of primer and two coats of emulsion paint. The work will be completed as per MoRTH Clause 800, CPWD Specifications 500, and the directions of the Engineer-in-Charge.
The final price includes the cost of all materials (primer, putty, emulsion paint), labor for surface preparation, cleaning, application of putty, primer, and paint, transportation of materials to the site, overheads, profit, and any required machinery for application.
Relevant Standards:
MoRTH Clause 800: Painting and Surface Finishing Work
CPWD Specification 500: Finish for Internal Walls, including Use of Putty and Emulsion Paint
IS 15489: Code of Practice for Painting of Concrete Surfaces
IS 5410: Specification for Weather-Resistant Paints for Exterior Use (for the use of emulsion)</t>
    </r>
  </si>
  <si>
    <t>Painting</t>
  </si>
  <si>
    <r>
      <rPr>
        <b/>
        <u/>
        <sz val="10"/>
        <color indexed="8"/>
        <rFont val="Poppins"/>
      </rPr>
      <t>Providing and Applying Primer and Weatherproof Paint to Exterior Surfaces (Building)</t>
    </r>
    <r>
      <rPr>
        <b/>
        <sz val="11"/>
        <color indexed="8"/>
        <rFont val="Poppins"/>
      </rPr>
      <t xml:space="preserve">
</t>
    </r>
    <r>
      <rPr>
        <sz val="10"/>
        <color indexed="8"/>
        <rFont val="Poppins"/>
      </rPr>
      <t xml:space="preserve">This item includes the preparation and application of 1 coat of primer and 2 coats of weatherproof paint in the approved shade((off-white with blue bands)) to the exterior surfaces of the building. The work involves thoroughly cleaning the surface to remove all dirt, dust, oil, grease, efflorescence, and other contaminants that could affect paint adhesion. After cleaning, a coat of primer is applied, followed by two coats of weatherproof paint, ensuring a durable and uniform finish. The work will be carried out in accordance with MoRTH Clause 800, CPWD specifications, and the directions of the Engineer-in-Charge.
The final price includes the cost of all materials (primer, weatherproof paint), labor for surface preparation, cleaning, application of primer and paint, transportation of materials to the site, overheads, profit, and any required machinery for application.
</t>
    </r>
    <r>
      <rPr>
        <b/>
        <sz val="9"/>
        <color indexed="8"/>
        <rFont val="Poppins"/>
      </rPr>
      <t>Relevant Standards:
MoRTH Clause 800: Painting and Surface Finishing Work
CPWD Specification 305: Surface Preparation and Painting Work for Exterior Surfaces
IS 5410: Specification for Weather-Resistant Paints for Exterior Use</t>
    </r>
  </si>
  <si>
    <r>
      <rPr>
        <b/>
        <u/>
        <sz val="10"/>
        <color indexed="8"/>
        <rFont val="Poppins"/>
      </rPr>
      <t>Providing and applying  two coats enamel paint (First Quality of Asian/Berger/Nerolac)</t>
    </r>
    <r>
      <rPr>
        <sz val="10"/>
        <color indexed="8"/>
        <rFont val="Poppins"/>
      </rPr>
      <t xml:space="preserve">
This item includes the preparation and application of  2 coats of synthetic enamel paint in the approved shade to the Kerb surfaces. The work involves thoroughly cleaning the surface to remove all dirt, dust, oil, grease, efflorescence, Soil and other contaminants that could affect paint adhesion. After cleaning  two coats of synthetic enamel paint, ensuring a durable and uniform finish. The work will be carried out in accordance with MoRTH Clause 803, and the directions of the Engineer-in-Charge.
The final price includes the cost of all materials, labour for surface preparation, cleaning, application of  paint, transportation of materials to the site, overheads, profit, Safety during the work and any required machinery for application.
Relevant Standards:
MoRTH Clause 803: Painting and Surface Finishing Work</t>
    </r>
  </si>
  <si>
    <t>Boll Nose and Kerb painting</t>
  </si>
  <si>
    <r>
      <rPr>
        <b/>
        <u/>
        <sz val="10"/>
        <color indexed="8"/>
        <rFont val="Poppins"/>
      </rPr>
      <t>Application of Synthetic Enamel Paint over Steel Structure (Old Surface)</t>
    </r>
    <r>
      <rPr>
        <sz val="10"/>
        <color indexed="8"/>
        <rFont val="Poppins"/>
      </rPr>
      <t xml:space="preserve">
This item includes the removal of old paint, surface preparation, and the application of one coat of red oxide primer and two coats of synthetic enamel oil paint on steel surfaces like sheets, trusses, and supporting posts. The old paint shall be removed using manual means or mechanical methods such as wire brushing, scraping, or buffing, as per IS 1477 (Part 1). The surface shall be cleaned of rust, loose paint, and contaminants.
Material Specifications
Primer: Red oxide primer of approved make (e.g., Asian or equivalent), applied at a thickness of 25-30 microns.
Paint: Two coats of synthetic enamel oil paint (e.g., Asian or equivalent), applied at a thickness of 35-40 microns per coat, in the approved shade.
Compliance and Quality Control
Work must comply with IS 1477 (Part 1) for surface preparation and IS 2395 for paint application. The finish must be free of defects and verified by the Engineer-in-Charge.
Measurement and Payment
Measurement shall be based on the area of steel surfaces to be painted. The rate includes all labor, materials, and surface preparation. No separate payment will be made for paint removal.</t>
    </r>
  </si>
  <si>
    <r>
      <t xml:space="preserve">Application of Synthetic Enamel Paint over 100 mm dia MS Pipe safety Pipe for Booth
</t>
    </r>
    <r>
      <rPr>
        <sz val="10"/>
        <color indexed="8"/>
        <rFont val="Poppins"/>
      </rPr>
      <t>This item includes the removal of old paint, surface preparation, and the application of one coat of red oxide primer and two coats of synthetic enamel oil paint on steel surfaces like sheets, trusses, and supporting posts. The old paint shall be removed using manual means or mechanical methods such as wire brushing, scraping, or buffing, as per IS 1477 (Part 1). The surface shall be cleaned of rust, loose paint, and contaminants.
Material Specifications
Primer: Red oxide primer of approved make (e.g., Asian or equivalent), applied at a thickness of 25-30 microns.
Paint: Two coats of synthetic enamel oil paint (e.g., Asian or equivalent), applied at a thickness of 35-40 microns per coat, in the approved shade.
Compliance and Quality Control
Work must comply with IS 1477 (Part 1) for surface preparation and IS 2395 for paint application. The finish must be free of defects and verified by the Engineer-in-Charge.
Measurement and Payment
Measurement shall be based on the RMT of steel Pipe to be painted. The rate includes all labor, materials, and surface preparation. No separate payment will be made for paint removal.</t>
    </r>
  </si>
  <si>
    <t>Rm</t>
  </si>
  <si>
    <r>
      <rPr>
        <b/>
        <u/>
        <sz val="10"/>
        <color indexed="8"/>
        <rFont val="Poppins"/>
      </rPr>
      <t>MS Round pipe railing 50mm dia MS Pipe re-painting with scope including 2 coats of enamel paints:</t>
    </r>
    <r>
      <rPr>
        <sz val="10"/>
        <color indexed="8"/>
        <rFont val="Poppins"/>
      </rPr>
      <t xml:space="preserve"> Post height 1.3m
This item includes the removal of old paint, surface preparation, and the application of one coat of red oxide primer and two coats of synthetic enamel oil paint on steel surfaces like sheets, trusses, and supporting posts. The old paint shall be removed using manual means or mechanical methods such as wire brushing, scraping, or buffing, as per IS 1477 (Part 1). The surface shall be cleaned of rust, loose paint, and contaminants.
Material Specifications
Primer: Red oxide primer of approved make (e.g., Asian or equivalent), applied at a thickness of 25-30 microns.
Paint: Two coats of synthetic enamel oil paint (e.g., Asian or equivalent), applied at a thickness of 35-40 microns per coat, in the approved shade.
Compliance and Quality Control
Work must comply with IS 1477 (Part 1) for surface preparation and IS 2395 for paint application. The finish must be free of defects and verified by the Engineer-in-Charge.
Measurement and Payment
Measurement shall be based on the RMT of steel Pipe to be painted. The rate includes all labor, materials, and surface preparation. No separate payment will be made for paint removal.</t>
    </r>
  </si>
  <si>
    <t>V</t>
  </si>
  <si>
    <t>MISCELLANEOUS WORKS:</t>
  </si>
  <si>
    <r>
      <rPr>
        <b/>
        <u/>
        <sz val="9"/>
        <color indexed="8"/>
        <rFont val="Poppins"/>
      </rPr>
      <t>1st Class Brick Masonry Work in Cement Mortar 1:3</t>
    </r>
    <r>
      <rPr>
        <b/>
        <sz val="9"/>
        <color indexed="8"/>
        <rFont val="Poppins"/>
      </rPr>
      <t xml:space="preserve">
</t>
    </r>
    <r>
      <rPr>
        <sz val="9"/>
        <color indexed="8"/>
        <rFont val="Poppins"/>
      </rPr>
      <t xml:space="preserve">This item includes the construction of brick masonry using 1st class burnt clay bricks, laid in cement mortar of mix ratio 1:3 (Cement: Sand), for foundations, walls, piers, columns, and other structures as per the approved drawings and technical specifications, </t>
    </r>
    <r>
      <rPr>
        <b/>
        <sz val="9"/>
        <color indexed="8"/>
        <rFont val="Poppins"/>
      </rPr>
      <t>from ground level till plinth and in superstructure above plinth level up to floor five level</t>
    </r>
    <r>
      <rPr>
        <sz val="9"/>
        <color indexed="8"/>
        <rFont val="Poppins"/>
      </rPr>
      <t xml:space="preserve">. The work includes thoroughly soaking the bricks in water for a minimum period of one hour prior to laying them to ensure proper bonding and to achieve maximum strength. The work shall also involve the protection of the green structure from rain during curing by suitable coverings. Curing of the masonry shall be done for a minimum period of 7 days as per standard practices to ensure the proper hydration and strength development of the mortar and masonry. The work excludes the cost of pointing, plastering, or any additional finish unless specified otherwise. The work shall be executed in accordance with the relevant CPWD and IS specifications.
The final price includes the cost of procurement of 1st class bricks, cement, sand, and other necessary materials, including royalty charges, transportation to site, soaking of bricks, labor, machinery, curing, and all overheads and profit. The cost does not include pointing, plastering, or any decorative finishes unless specified separately. Safety measures and quality checks shall be implemented during all stages.
</t>
    </r>
    <r>
      <rPr>
        <b/>
        <sz val="9"/>
        <color indexed="8"/>
        <rFont val="Poppins"/>
      </rPr>
      <t>Relevant Standards:
CPWD Specification No. 6.4 (Brick Masonry Work)
MoRTH Clause 1300 (Brick Masonry Work)</t>
    </r>
  </si>
  <si>
    <t>Cum</t>
  </si>
  <si>
    <r>
      <rPr>
        <b/>
        <u/>
        <sz val="9"/>
        <color indexed="8"/>
        <rFont val="Poppins"/>
      </rPr>
      <t>Plaster (20 mm Thick in Two Layers with Waterproofing Compound)</t>
    </r>
    <r>
      <rPr>
        <sz val="9"/>
        <color indexed="8"/>
        <rFont val="Poppins"/>
      </rPr>
      <t xml:space="preserve">
The work includes 20 mm thick external plaster in two layers as per CPWD Clause 13. cement mortar 1:3 (1 cement: 3 fine sand) applied.
The work includes raking joints, cleaning, surface preparation, uniform application of both layers, curing as specified, and ensuring a smooth finish. The cost includes all materials (cement, sand, waterproofing compound, water), labor, curing, scaffolding, and quality checks. Measurement shall be in Sqm of finished plastered area. The work shall conform to IS 1661:1980 and CPWD specifications.
Rate is applicable from plinth level to floor five level.</t>
    </r>
  </si>
  <si>
    <r>
      <rPr>
        <b/>
        <sz val="10"/>
        <rFont val="Poppins"/>
      </rPr>
      <t xml:space="preserve">Providing and laying </t>
    </r>
    <r>
      <rPr>
        <b/>
        <u/>
        <sz val="10"/>
        <rFont val="Poppins"/>
      </rPr>
      <t>integral cement‑based waterproofing treatment with brick‑bat coba</t>
    </r>
    <r>
      <rPr>
        <sz val="10"/>
        <rFont val="Poppins"/>
      </rPr>
      <t xml:space="preserve"> over RCC slab and parapet walls up to 300 mm heights, as per CPWD Spec 22.7: including surface cleaning , scrapping, cleaned neatly of all morter dropping, loose material with brooms/cloth,first slurry coat (2.75 kg/m²), laying 25–115 mm brick‑bats with 1:5 mortar bed and waterproofing compound, second slurry coat after 2 days, finishing layer of 20 mm cement mortar (1:4) with fibreglass cloth membrane and 300×300 mm surface pattern, complete curing and testing (ponding for 14 days). Rate to include all materials, waterproofing compound, fibreglass, labour, curing, testing, and no deductions for openings up to 0.40 m².</t>
    </r>
  </si>
  <si>
    <t xml:space="preserve">Replace with Brick Bat Water Proofing </t>
  </si>
  <si>
    <r>
      <rPr>
        <b/>
        <u/>
        <sz val="10"/>
        <color indexed="8"/>
        <rFont val="Poppins"/>
      </rPr>
      <t>Plain Cement Concrete M-15 Grade in Open Foundation</t>
    </r>
    <r>
      <rPr>
        <sz val="10"/>
        <color indexed="8"/>
        <rFont val="Poppins"/>
      </rPr>
      <t xml:space="preserve">
All charges for supply &amp; placing of Plain Cement Concrete (M-15 grade) in open foundations as per approved drawings and technical specifications, conforming to MoRTH Sections 1500, 1700, and 2200.  The mix shall use aggregates of size not exceeding 20 mm, with a workable slump suitable for PCC. The thickness of PCC shall be as specified in drawing. Concrete placement shall ensure a free-fall height of less than 1.5 m to prevent segregation, compacted using mechanical vibrators to achieve proper consolidation.
The work includes the preparation of the foundation surface, leveling, placing concrete, and finishing exposed surfaces to achieve the required levels and smoothness. Adequate curing, as per approved methods, shall be carried out for at least 7 days to attain the desired strength. Sampling and testing shall follow relevant IS codes, including IS 456 and IS 516, to ensure compliance with quality standards.
The rate shall include all costs associated with labor, material, machinery, batching, transporting, placing, compacting, curing, sampling, testing, and incidental works. Shuttering costs, where required, are also deemed included in the rate of PCC. The work shall be executed with due diligence, adhering to environmental and safety measures, and ensuring compliance with the project’s specifications and MoRTH standards.</t>
    </r>
  </si>
  <si>
    <r>
      <rPr>
        <b/>
        <sz val="10"/>
        <color indexed="8"/>
        <rFont val="Poppins"/>
      </rPr>
      <t xml:space="preserve">All charges for supply &amp; placing of RCC (M-25 grade) in open foundations- </t>
    </r>
    <r>
      <rPr>
        <sz val="10"/>
        <color indexed="8"/>
        <rFont val="Poppins"/>
      </rPr>
      <t xml:space="preserve">
All charges for providing and placing RCC M25 grade concrete for foundations as per approved drawings and technical specifications, conforming to MoRTH Sections 1500, 1700, and 2200. The concrete shall be produced using a batch mix plant, transported via transit mixers, and placed in position using appropriate equipment. The mix design, including approved admixtures, shall be submitted for approval by the Engineer-in Charge (EIC) before production. Aggregates shall not exceed a maximum size of 20 mm, and the concrete shall have a workable slump suitable for RCC. Concrete placement shall ensure a free-fall height of less than 1.5 m to avoid segregation and be compacted using mechanical vibrators for proper consolidation. The rate includes all formwork/shuttering costs to support concrete placement, which must ensure safety and stability. Adequate curing shall be performed for at least 7 days, following approved methods, to meet specified strength and durability. Quality control measures include sampling, testing, and certification as per IS codes like IS 456 and IS 516 to verify strength and compliance. Environmental, material handling, and safety protocols shall be adhered to during execution. All incidental costs related to labor, material, machinery, and overheads are deemed included in the scope of work. Refer MoRTH's specification 1500, 1700&amp; 2200. IS Codes: - IS 456</t>
    </r>
  </si>
  <si>
    <t>Column and footings of MS Gates &amp; Drain Cover</t>
  </si>
  <si>
    <r>
      <rPr>
        <b/>
        <sz val="10"/>
        <color indexed="8"/>
        <rFont val="Poppins"/>
      </rPr>
      <t>Supplying, fabricating, and erecting mild steel structural frame for DG shed &amp; Car Parking Shed</t>
    </r>
    <r>
      <rPr>
        <sz val="10"/>
        <color indexed="8"/>
        <rFont val="Poppins"/>
      </rPr>
      <t xml:space="preserve"> using ISMC/ISA/SHS/RHS sections for columns, trusses, purlins, rafters, and other members; including cutting, welding, grinding, hoisting, and alignment; fixing columns in cement mortar (1:3) in prepared foundations; providing and fixing MS bracings, stiffeners, cleats, base plates, and other necessary fittings; applying one coat of red oxide primer followed by two coats of synthetic enamel paint; and supplying and fixing 0.50 mm thick color-coated galvanized/MS roofing sheets including ridge, overlap, self-drilling screws, washers, and all necessary accessories — complete in all respects as per drawings, specifications, and instructions of the Engineer-in-Charge.</t>
    </r>
  </si>
  <si>
    <t>Mt</t>
  </si>
  <si>
    <r>
      <rPr>
        <b/>
        <sz val="10"/>
        <color indexed="8"/>
        <rFont val="Poppins"/>
      </rPr>
      <t xml:space="preserve">Reinforcement Steel: </t>
    </r>
    <r>
      <rPr>
        <sz val="10"/>
        <color indexed="8"/>
        <rFont val="Poppins"/>
      </rPr>
      <t xml:space="preserve">
 All charges for providing, cutting, bending, transporting, and tying reinforcement steel of designation TMT FE 500 as per IS 1786 for construction work. The vendor shall supply all necessary steel and 18gauge black annealed binding wire. Reinforcement steel bars are to be cut, bent, and tied per approved bar bending schedules and structural drawings, ensuring precise dimensions and placements. Steel bars shall be securely tied at all intersections using 18-gauge black annealed binding wire to maintain stability during concrete placement. Laps shall conform to MoRTH specifications and as directed in drawings, with no separate payment for laps or overlaps as per MoRTH Clause 1600. Proper clear cover shall be maintained with spacers and chairs as per drawings and CPWD standards. Steel will be measured by weight in kilograms, excluding binding wire and without allowances for overlaps or wastage. The scope of work includes supply, handling, and on-site quality assurance for positioning, alignment, and compliance with specifications and as directed by EIC. Safety measures and quality checks  shall be implemented during all stages, ensuring high-standard reinforcement for structural integrity.  Reinforcement bars from the approved make shall only be used. </t>
    </r>
  </si>
  <si>
    <t>Kg</t>
  </si>
  <si>
    <t>MS gates Column and footing &amp; Drain Cover Steel</t>
  </si>
  <si>
    <r>
      <rPr>
        <b/>
        <u/>
        <sz val="10"/>
        <color indexed="8"/>
        <rFont val="Poppins"/>
      </rPr>
      <t>Supplying and fixing 0.50 mm thick color-coated galvanized/mild steel (MS) roofing sheets</t>
    </r>
    <r>
      <rPr>
        <sz val="10"/>
        <color indexed="8"/>
        <rFont val="Poppins"/>
      </rPr>
      <t xml:space="preserve"> over the structural steel frame, including necessary overlaps, ridges, hips, valleys, and fixing with self-drilling screws with neoprene washers. Also includes providing and fixing of mild steel bracings, stiffeners, cleats, and other associated accessories for proper anchorage and structural stability. Complete in all respects as per approved drawings, specifications, and directions of the Engineer-in-Charge.</t>
    </r>
  </si>
  <si>
    <r>
      <t>Repairing of water leackage in toilet blocks, admin building &amp; pantry</t>
    </r>
    <r>
      <rPr>
        <sz val="10"/>
        <color indexed="8"/>
        <rFont val="Poppins"/>
      </rPr>
      <t xml:space="preserve"> as per requirements including all manpower &amp; consumable charges.</t>
    </r>
  </si>
  <si>
    <t>LS</t>
  </si>
  <si>
    <r>
      <rPr>
        <b/>
        <sz val="10"/>
        <color indexed="8"/>
        <rFont val="Poppins"/>
      </rPr>
      <t>Repairing of water leackage with slicon in Toughened glass</t>
    </r>
    <r>
      <rPr>
        <sz val="10"/>
        <color indexed="8"/>
        <rFont val="Poppins"/>
      </rPr>
      <t xml:space="preserve"> as directed by site Incharge including manpower , machinaries , tools &amp; tackles ,transportation etc., </t>
    </r>
  </si>
  <si>
    <r>
      <rPr>
        <b/>
        <u/>
        <sz val="10"/>
        <color indexed="8"/>
        <rFont val="Poppins"/>
      </rPr>
      <t>Providing &amp; Fixing of 75mm Dia PVC Pipe</t>
    </r>
    <r>
      <rPr>
        <sz val="10"/>
        <color indexed="8"/>
        <rFont val="Poppins"/>
      </rPr>
      <t xml:space="preserve">
All charges for providing and fixing a 75 mm diameter PVC pipe, conforming to IS 4985 standards, for non-pressure applications as per CPWD specifications. The pipe shall be of approved make and capable of withstanding the required loads. The installation will involve securing the pipe along the specified alignment with corrosion-resistant clamps and fasteners, placed at intervals not exceeding 1 meter, or as directed by the Engineer-in-Charge. The rate shall cover all necessary accessories, including bends, joints, fittings, overlaps, and any cutting or jointing required to complete the installation. The entire system, including pipe layout, fittings, and alignment, must be leak-proof and installed as per drawings. Payment will be made on a running meter (RM) basis, which includes the pipe, clamps, fittings, bends, joints, overlaps, and all associated work, with no separate payment for bends, joints, or overlaps. The rate shall also include labor, transportation, and the necessary installation work to meet specifications.
Pipe from the approved make shall only be used.</t>
    </r>
  </si>
  <si>
    <r>
      <t xml:space="preserve">Supply of Unskilled Labour </t>
    </r>
    <r>
      <rPr>
        <sz val="10"/>
        <color indexed="8"/>
        <rFont val="Poppins"/>
      </rPr>
      <t>Supply of unskilled labour for assisting in various site activities such as cleaning, material handling,, shifting of equipment, scaffolding support, , site maintenance, and other general tasks as directed by the Engineer-in-Charge. Labour shall be physically fit and available for work during specified site hours.The rate includes the provision of standard Personal Protective Equipment (PPE) such as safety helmet, high-visibility jacket, safety shoes, gloves, and dust mask, ensuring compliance with safety norms.</t>
    </r>
  </si>
  <si>
    <t>Mandays</t>
  </si>
  <si>
    <t>VI</t>
  </si>
  <si>
    <t xml:space="preserve">Toll plaza Boundary </t>
  </si>
  <si>
    <r>
      <t xml:space="preserve">Construction of boundary wall using </t>
    </r>
    <r>
      <rPr>
        <sz val="10"/>
        <color indexed="8"/>
        <rFont val="Poppins"/>
      </rPr>
      <t>precast and prestressed concrete panels of size 2.4 m × 0.3 m × 0.05 m in M-30 grade concrete (1:1.5:3 mix) and precast concrete columns of size 0.15 m × 0.15 m × 2.7 m (including 0.6 m embedded below ground level and 2.1 m above ground level), including:
Excavation and concrete work for grouting of columns in position
Fixing of precast panels into grooves of the columns to form a rigid wall
Applying two coats of primer and paint on the front face of the wall panels
All labour, materials, tools and plants, equipment, transportation, scaffolding, and all other incidental works required Complete in all respects as per approved drawings, specifications, and instructions of the Engineer-in-Charge
Unit: Running Meter (Rm)</t>
    </r>
  </si>
  <si>
    <r>
      <t xml:space="preserve">Supply &amp; fixing of MS railing Tubular Steel Railing on Medium Weight steel channel (ISMC series) 100mm X 50mm </t>
    </r>
    <r>
      <rPr>
        <sz val="10"/>
        <rFont val="Poppins"/>
      </rPr>
      <t>(Providing fixing eracting 50mm dia steel pipe railing in 3 rows duly painted on medium weight steel channels (ISMC Series) 100mm X 50mm . 1.2 meters high above ground. 2m centre  to center.</t>
    </r>
  </si>
  <si>
    <t>Supply and fixing of MS round hollow 50 mm dia pipe in railing at pipe damage and Missing location including painting ,cutting in required size, labour , material and all consumables etc.</t>
  </si>
  <si>
    <t>VII</t>
  </si>
  <si>
    <t>Toll Plaza main Gates and DG room Gate</t>
  </si>
  <si>
    <r>
      <t xml:space="preserve">Supplying and fixing of motorized sliding MS gate including all labor, materials, lead, lift, etc., complete, as per the following specifications:
</t>
    </r>
    <r>
      <rPr>
        <b/>
        <sz val="10"/>
        <color indexed="8"/>
        <rFont val="Poppins"/>
      </rPr>
      <t xml:space="preserve">Gate Dimensions: </t>
    </r>
    <r>
      <rPr>
        <b/>
        <sz val="10"/>
        <color indexed="8"/>
        <rFont val="Poppins"/>
      </rPr>
      <t xml:space="preserve">7 feet height, 18 feet total width, with 13 feet sliding on rollers and 5 feet openable manually.   </t>
    </r>
    <r>
      <rPr>
        <b/>
        <sz val="10"/>
        <color indexed="10"/>
        <rFont val="Poppins"/>
      </rPr>
      <t xml:space="preserve"> </t>
    </r>
    <r>
      <rPr>
        <sz val="10"/>
        <color indexed="8"/>
        <rFont val="Poppins"/>
      </rPr>
      <t xml:space="preserve">   1 -Entry gate Bareilly End (clear Opening size 6.5m *2.8 m)  2 -Main Centre Entry Gate Toll plaza (Clear Opening size 7.5m *2.8 m) 3-Entry Gate Sitapur End (Clear Opening size 5.5m *2.8 m)  4-DG Set Room (Clear Opening size 4.5m *2.8 m)</t>
    </r>
    <r>
      <rPr>
        <sz val="10"/>
        <color indexed="8"/>
        <rFont val="Poppins"/>
      </rPr>
      <t xml:space="preserve">
</t>
    </r>
    <r>
      <rPr>
        <b/>
        <sz val="10"/>
        <color indexed="8"/>
        <rFont val="Poppins"/>
      </rPr>
      <t>Material Specifications:</t>
    </r>
    <r>
      <rPr>
        <sz val="10"/>
        <color indexed="8"/>
        <rFont val="Poppins"/>
      </rPr>
      <t xml:space="preserve">
Frame: Mild Steel (MS), IS 2062, Grade A, with thickness 2.5 mm (or as per load-bearing requirements), ensuring structural integrity and durability.
Slats/Panels: Mild Steel sheets of 1.6 mm thickness, welded for a rigid structure.
Roller System: Heavy-duty MS rollers, 50 mm diameter, designed for smooth operation, mounted on a mild steel rail (size: 100 x 50 mm) to ensure stability and ease of movement.
Motor: 1 HP capacity, single-phase motor, suitable for sliding gates, including necessary wiring and connections. The motor’s specifications are given as broad guidelines; final motor specifications shall be confirmed based on the actual drawings submitted by the vendor for approval before fabrication.
Openable Section: The 5 feet section shall be manually operable with necessary hinges and locks.
Painting: Two coats of high-quality oil-based paint in approved shade for corrosion resistance and aesthetic finish.
Installation: Gate to be fixed with MS anchor bolts to a concrete foundation. The rail system and rollers shall be aligned and levelled for smooth movement, as per approved installation methodology.
Testing and Commissioning: The gate, motor, and sliding mechanism will undergo functional testing, ensuring proper operation and smooth sliding.
Safety: Compliance with relevant safety standards during installation and operation.
Exclusions: Remote control, automatic locks, intercom systems, safety sensors, or any additional automation are excluded from the rate and shall be paid separately.
Cost includes all labor, materials, transportation, tools, fabrication, welding, grinding, polishing, painting, and installation, including foundation works, anchor bolts, and necessary accessories.
The provision of the motor, testing, and commissioning as per the approved drawings and specifications.
Gate frame, slats/panels, roller system, and associated hardware.
IS Codes:
IS 2062: Specification for mild steel material.
IS 1038: Design and performance standards for motorized gates.
IS 6911:2017: For fabrication and welding of stainless steel, if used for any small components (in case of mixed materials).</t>
    </r>
  </si>
  <si>
    <t>VIII</t>
  </si>
  <si>
    <t xml:space="preserve">Tiles </t>
  </si>
  <si>
    <r>
      <rPr>
        <b/>
        <sz val="10"/>
        <color indexed="8"/>
        <rFont val="Poppins"/>
      </rPr>
      <t>Chequerred precast cement concrete tiles 22 mm thick</t>
    </r>
    <r>
      <rPr>
        <sz val="10"/>
        <color indexed="8"/>
        <rFont val="Poppins"/>
      </rPr>
      <t xml:space="preserve"> in footpath &amp; courtyard, jointed with neat cement slurry mixed with pigment to match the shade of tiles, including rubbing and cleaning etc. complete, on 20 mm thick bed of cement mortar 1:4 (1 cement: 4 coarse sand).</t>
    </r>
  </si>
  <si>
    <r>
      <rPr>
        <b/>
        <sz val="10"/>
        <color indexed="8"/>
        <rFont val="Poppins"/>
      </rPr>
      <t>Providing and laying Vitrified tiles of 20 mm thick in floor</t>
    </r>
    <r>
      <rPr>
        <sz val="10"/>
        <color indexed="8"/>
        <rFont val="Poppins"/>
      </rPr>
      <t xml:space="preserve"> in different sizes  with water absorption less than 0.08% and conforming to IS:15622, of approved brand &amp; manufacturer, in all colours and shade, laid on 20 mm thick cement mortar 1:4 (1 cement: 4 coarse sand) jointing with grey cement slurry @3.3 kg/sqm including grouting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t>
    </r>
  </si>
  <si>
    <r>
      <rPr>
        <b/>
        <sz val="10"/>
        <rFont val="Poppins"/>
      </rPr>
      <t>Providing and fixing Heat Resistant Terrace Tiles of 20 mm thick</t>
    </r>
    <r>
      <rPr>
        <sz val="10"/>
        <rFont val="Poppins"/>
      </rPr>
      <t xml:space="preserve"> with SRI (solar refractive index) &gt; 78, solar reflection  &gt;  0.70  and  initial  emittance  &gt;  0.75  on  waterproof and  sloped  surface  of  terrace,  laid  on  20  mm  thick  cement sand mortar in the ratio of 1:4 (1 cement : 4 coarse sand) and grouting the joints with mix of white cement &amp; marble powder in ratio of 1:1, including rubbing and polishing of the surface upto  3  cuts  complete,  including  providing  skirting  upto  150 mm height along the parapet walls in the same manner.</t>
    </r>
  </si>
  <si>
    <r>
      <rPr>
        <b/>
        <sz val="10"/>
        <color indexed="8"/>
        <rFont val="Poppins"/>
      </rPr>
      <t>Providing and laying Vitrified Skirting tiles of 20 mm thick</t>
    </r>
    <r>
      <rPr>
        <sz val="10"/>
        <color indexed="8"/>
        <rFont val="Poppins"/>
      </rPr>
      <t xml:space="preserve"> in different sizes , with water absorption less than 0.08% and conforming to IS:15622, of approved brand &amp; manufacturer, in all colours and shade, laid on 20 mm thick cement mortar 1:4 (1 cement: 4 coarse sand) jointing with grey cement slurry @3.3 kg/sqm including grouting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t>
    </r>
  </si>
  <si>
    <t>ADMIN BUILDING:Sanitary and Plumbing Fittings-</t>
  </si>
  <si>
    <t>Flushing Cistern P.V.C. 10 lts capacity (low level) (White) (with fittings, accessories and flush pipe)-jaquar or any make equivalent required</t>
  </si>
  <si>
    <t>Nos.</t>
  </si>
  <si>
    <t>Vitreous china squatting plate urinal with top inlet including CI bracket C.P. brass waste 32 mm.-jaquar or any make equivalent required</t>
  </si>
  <si>
    <t>Vitreous china wall hanging wash basin 450x300 mm with 15 mm C.P. brass tap with elbow operation lever including all fitting ,labour and others consumables like water outlet pipe ,CI Bracket C.P. brass waste 32 mm etc. -jaquar or any make equivalent required</t>
  </si>
  <si>
    <t>15 mm C.P.brass tap</t>
  </si>
  <si>
    <t>Jet Spay Faucet</t>
  </si>
  <si>
    <t>Towel Rod</t>
  </si>
  <si>
    <t>Towel Ring</t>
  </si>
  <si>
    <t>Paper holder</t>
  </si>
  <si>
    <t>Supply and Fitting of PVC Pipe 1" of make Astral &amp; supreme</t>
  </si>
  <si>
    <t>Supply and Fitting of PVC Pipe 2" of make Astral &amp; supreme</t>
  </si>
  <si>
    <r>
      <rPr>
        <b/>
        <sz val="9"/>
        <color indexed="8"/>
        <rFont val="Poppins"/>
      </rPr>
      <t>Providing and fixing of rainwater down-take pipe of  PVC 100 mm Dia</t>
    </r>
    <r>
      <rPr>
        <sz val="9"/>
        <color indexed="8"/>
        <rFont val="Poppins"/>
      </rPr>
      <t xml:space="preserve"> for Admin building rain water drainage, including necessary fittings such as elbows, bends, couplers, shoes, clamps, and fasteners. The pipe shall be fixed to the building using suitable brackets/clamps at regular intervals not exceeding 1.5 meters, ensuring proper alignment and slope for effective drainage. The work includes cutting, jointing, sealing with solvent cement (for PVC), including fixing of all accessories . All work to be completed as per relevant IS codes and direction of Engineer-in-Charge.</t>
    </r>
  </si>
  <si>
    <t>Rm.</t>
  </si>
  <si>
    <r>
      <t>Repairing of water leackage in toilet blocks, admin building &amp; pantry</t>
    </r>
    <r>
      <rPr>
        <sz val="10"/>
        <color indexed="8"/>
        <rFont val="Poppins"/>
      </rPr>
      <t xml:space="preserve"> as per requirements including all manpower &amp; consumable charges.</t>
    </r>
    <r>
      <rPr>
        <b/>
        <sz val="10"/>
        <color indexed="8"/>
        <rFont val="Poppins"/>
      </rPr>
      <t xml:space="preserve"> (50 Nos)</t>
    </r>
  </si>
  <si>
    <t>Ls.</t>
  </si>
  <si>
    <r>
      <rPr>
        <b/>
        <sz val="10"/>
        <color indexed="8"/>
        <rFont val="Poppins"/>
      </rPr>
      <t>Complete work for providing water supply connection from submersible pump to overhead tank using 1.5” (40 mm) diameter PVC pipe (6 kg/cm²)</t>
    </r>
    <r>
      <rPr>
        <sz val="10"/>
        <color indexed="8"/>
        <rFont val="Poppins"/>
      </rPr>
      <t>, including supply and laying of pipe, elbows, tees, ball valve, foot valve (if required), fittings, saddles, clamps, drilling, sealing, testing, and commissioning with all necessary labour and materials.</t>
    </r>
  </si>
  <si>
    <r>
      <rPr>
        <b/>
        <sz val="10"/>
        <color indexed="8"/>
        <rFont val="Poppins"/>
      </rPr>
      <t>Complete work for laying and connecting 100 mm dia PVC waste water pipeline from Traffic Aid &amp; Medical Aid Building to septic tank</t>
    </r>
    <r>
      <rPr>
        <sz val="10"/>
        <color indexed="8"/>
        <rFont val="Poppins"/>
      </rPr>
      <t>, including excavation, sand bedding, supplying and laying of pipe and fittings ( tees,(2 nos) elbow (6 nos), reducers, cleanouts), leak-proof jointing with solvent cement, core-cutting at tank inlet, sealing, testing and commissioning with all required labour, materials, and tools</t>
    </r>
  </si>
  <si>
    <t>Electrcial Works-</t>
  </si>
  <si>
    <t>Supply, installation, testing, and commissioning of ceiling fans, electrical switches, batten lights, ceiling lights, and other related electrical accessories at designated locations as per the instructions of the Engineer-in-Charge, complete in all respects.</t>
  </si>
  <si>
    <t>i</t>
  </si>
  <si>
    <t>Supply and fixing of ceiling light ( LED Type,22 watt, 230 V,round/square panel type</t>
  </si>
  <si>
    <t>ii</t>
  </si>
  <si>
    <t>supply and fixing of Modular MCB 32 A for AC ( SP,10KA ISI marked)</t>
  </si>
  <si>
    <t>iii</t>
  </si>
  <si>
    <t>Supply and fixing of 12 -module Modular switch board</t>
  </si>
  <si>
    <t>iv</t>
  </si>
  <si>
    <t>Supply and fixing of 8 -module Modular switch board</t>
  </si>
  <si>
    <t>v</t>
  </si>
  <si>
    <t>Supply and fixing of 6 -module Modular switch board</t>
  </si>
  <si>
    <t>vi</t>
  </si>
  <si>
    <t>Supply and fixing of 3 -module Modular switch board</t>
  </si>
  <si>
    <t>vii</t>
  </si>
  <si>
    <t>Supply and Fixing of 16 A Socket ( Modular Type)</t>
  </si>
  <si>
    <t>viii</t>
  </si>
  <si>
    <t>Supply and Fixing of 16 A Switch ( Modular Type)</t>
  </si>
  <si>
    <t>ix</t>
  </si>
  <si>
    <t>Supply and Fixing of 6 A Socket ( Modular Type)</t>
  </si>
  <si>
    <t>x</t>
  </si>
  <si>
    <t>Supply and Fixing of 6 A Switch ( Modular Type)</t>
  </si>
  <si>
    <t>xi</t>
  </si>
  <si>
    <t>Supply and fixing of fan regulator( Modular,5 step)</t>
  </si>
  <si>
    <t>xii</t>
  </si>
  <si>
    <t>Supply and fixing of blank plate for unused module slots</t>
  </si>
  <si>
    <t>xiii</t>
  </si>
  <si>
    <t>Supply and Fixing of MCB Box for 3 phase distribution system</t>
  </si>
  <si>
    <t>xiv</t>
  </si>
  <si>
    <t>Supply and fixing of indicator lamp ( neon type,modular, 230v)</t>
  </si>
  <si>
    <t>xv</t>
  </si>
  <si>
    <t>Supply and fixing of 4 Module  Modular switch Board</t>
  </si>
  <si>
    <t>xvi</t>
  </si>
  <si>
    <t>Supply and Fixing of Exhaust Fan ( 230 mm seep,230 V, Plastic boady)</t>
  </si>
  <si>
    <t>xvii</t>
  </si>
  <si>
    <t>Supply and Fixing of Wall Mounted Fan ( 400 mm seep,230 V, Plastic boady, oscillating type)</t>
  </si>
  <si>
    <t>Bajaj</t>
  </si>
  <si>
    <t>xviii</t>
  </si>
  <si>
    <t>Supply and fixing of LED bulb 10 W, B22 Base,6500 K cool white</t>
  </si>
  <si>
    <t>xix</t>
  </si>
  <si>
    <t>Wall Conduit wiring with grove cutting &amp; Fixing of PVC conduit ( 20 mm ) excluding wire</t>
  </si>
  <si>
    <t>xx</t>
  </si>
  <si>
    <t>Supply and Fixing of GI metal Box 12 Module including slot cutting</t>
  </si>
  <si>
    <t>xxi</t>
  </si>
  <si>
    <t>Supply and Fixing of Round electrical Junction Box ( PVC) including slot cutting</t>
  </si>
  <si>
    <t>xxii</t>
  </si>
  <si>
    <t>Supply and fixing of 32 amp MCB in existing MCB box</t>
  </si>
  <si>
    <t>xxiii</t>
  </si>
  <si>
    <t>Supply and fixing of  Batten light ( LED tube light ,50Watt  with metal body</t>
  </si>
  <si>
    <t>xxiv</t>
  </si>
  <si>
    <t>Supply and fixing of Ceilling fan 1200 mm sweep,230v , double ball bearing, ISI marked</t>
  </si>
  <si>
    <t>xxv</t>
  </si>
  <si>
    <t>Supply of copper conductor PVC insulated wire of 1.5 sq.mm (Red), in standard bundle/coil of 90 meters length, to be laid at specified locations as directed by Engineer-in-Charge.</t>
  </si>
  <si>
    <t>Market rate</t>
  </si>
  <si>
    <t>xxvi</t>
  </si>
  <si>
    <t>Supply of copper conductor PVC insulated wire of 2.5 sq.mm (Red), in standard bundle/coil of 90 meters length, to be laid at specified locations as directed by Engineer-in-Charge.</t>
  </si>
  <si>
    <t>xxvii</t>
  </si>
  <si>
    <t>Supply of 25 mm diameter flexible round PVC electrical conduit pipe, including provision of all necessary conduit accessories such as bends, clamps, couplers, saddles, junctions, and other required fittings, for unforeseen or contingent electrical wiring installations. Materials to be supplied and laid at site locations as per actual requirements and directions of the Engineer-in-Charge, ensuring proper alignment, secure mounting, and compliance with relevant electrical standards and specifications, complete in all respects.</t>
  </si>
  <si>
    <t>xxviii</t>
  </si>
  <si>
    <t>Supply of 25 mm conduit tube, including provision of all necessary conduit accessories such as bends, clamps, couplers, saddles, junctions, and other required fittings, for unforeseen or contingent electrical wiring installations. Materials to be supplied and laid at site locations as per actual requirements and directions of the Engineer-in-Charge, ensuring proper alignment, secure mounting, and compliance with relevant electrical standards and specifications, complete in all respects.</t>
  </si>
  <si>
    <t>Aluminium Partition work</t>
  </si>
  <si>
    <t xml:space="preserve">Description </t>
  </si>
  <si>
    <t>Unit</t>
  </si>
  <si>
    <t xml:space="preserve">Side </t>
  </si>
  <si>
    <t>Measurement (M)</t>
  </si>
  <si>
    <t>Length</t>
  </si>
  <si>
    <t>Breadth</t>
  </si>
  <si>
    <t xml:space="preserve">Depth </t>
  </si>
  <si>
    <t>First floor:</t>
  </si>
  <si>
    <t>Control Room</t>
  </si>
  <si>
    <t>NA</t>
  </si>
  <si>
    <t>Incl.Door</t>
  </si>
  <si>
    <t>Ground Floor:</t>
  </si>
  <si>
    <t>Operation Manager Room</t>
  </si>
  <si>
    <t>Admin Room</t>
  </si>
  <si>
    <t>Miscellaneous</t>
  </si>
  <si>
    <t xml:space="preserve">Unforseen partition work in admin building </t>
  </si>
  <si>
    <t>Total=&gt;</t>
  </si>
  <si>
    <t xml:space="preserve">Aluminium Repairing </t>
  </si>
  <si>
    <t>I</t>
  </si>
  <si>
    <t>Ground floor:</t>
  </si>
  <si>
    <t>Plaza Manager Room</t>
  </si>
  <si>
    <t xml:space="preserve">Window </t>
  </si>
  <si>
    <t xml:space="preserve">30% of Original Qty </t>
  </si>
  <si>
    <t>Reception Area</t>
  </si>
  <si>
    <t xml:space="preserve">Front Window </t>
  </si>
  <si>
    <t>Side Window</t>
  </si>
  <si>
    <t>Store Room</t>
  </si>
  <si>
    <t>First Floor:</t>
  </si>
  <si>
    <t>Room-1</t>
  </si>
  <si>
    <t>RHS</t>
  </si>
  <si>
    <t>Room-2</t>
  </si>
  <si>
    <t>Room-3</t>
  </si>
  <si>
    <t>Room-4</t>
  </si>
  <si>
    <t xml:space="preserve">Side Window </t>
  </si>
  <si>
    <t>Room-5</t>
  </si>
  <si>
    <t>Room-6</t>
  </si>
  <si>
    <t>Electrical Meter ROOM :</t>
  </si>
  <si>
    <t>IV</t>
  </si>
  <si>
    <t>LT ROOM :</t>
  </si>
  <si>
    <t>MEDICAL AID ROOM :</t>
  </si>
  <si>
    <t>SECURITY ROOM :</t>
  </si>
  <si>
    <t>WEIGH BRIDGE BUILDING</t>
  </si>
  <si>
    <t>HIGHWAY MINI NEST :</t>
  </si>
  <si>
    <t xml:space="preserve">Back Window </t>
  </si>
  <si>
    <t>Operation manager Room</t>
  </si>
  <si>
    <t>Reception area hall</t>
  </si>
  <si>
    <t xml:space="preserve">Traffic Aid Post </t>
  </si>
  <si>
    <t xml:space="preserve"> Room-1</t>
  </si>
  <si>
    <t xml:space="preserve"> Room-2</t>
  </si>
  <si>
    <t xml:space="preserve"> Room-3</t>
  </si>
  <si>
    <t xml:space="preserve"> Room-4</t>
  </si>
  <si>
    <t xml:space="preserve"> Room-5</t>
  </si>
  <si>
    <t xml:space="preserve"> Room--6</t>
  </si>
  <si>
    <t>Total&gt;&gt;&gt;&gt;</t>
  </si>
  <si>
    <t>New Door Fixing</t>
  </si>
  <si>
    <t>Pantry Room</t>
  </si>
  <si>
    <t>Toilet</t>
  </si>
  <si>
    <t>Manager Room</t>
  </si>
  <si>
    <t>Entrance gate</t>
  </si>
  <si>
    <t>Admin room</t>
  </si>
  <si>
    <t>Outer toilet</t>
  </si>
  <si>
    <t>Medical Aid Post</t>
  </si>
  <si>
    <t>Traffic Aid Post</t>
  </si>
  <si>
    <t xml:space="preserve">Door </t>
  </si>
  <si>
    <t>LHS</t>
  </si>
  <si>
    <t>BHS</t>
  </si>
  <si>
    <t>Total&gt;&gt;&gt;&gt;&gt;</t>
  </si>
  <si>
    <t>Booth Repairing</t>
  </si>
  <si>
    <t xml:space="preserve">Portacabin booth </t>
  </si>
  <si>
    <t>L</t>
  </si>
  <si>
    <t>B</t>
  </si>
  <si>
    <t>D</t>
  </si>
  <si>
    <t>Area(sqm)</t>
  </si>
  <si>
    <t xml:space="preserve">Size of Booth </t>
  </si>
  <si>
    <r>
      <rPr>
        <b/>
        <sz val="9"/>
        <color indexed="8"/>
        <rFont val="Poppins"/>
      </rPr>
      <t>Lane Booth Cabin Repair/Rreversible Lane Booth Repair</t>
    </r>
    <r>
      <rPr>
        <sz val="9"/>
        <color indexed="8"/>
        <rFont val="Poppins"/>
      </rPr>
      <t>-Repair of booth cabins including ACP sheet &amp; Toughened Glass window with scope including materials , manpowers,Transportations etc.,</t>
    </r>
  </si>
  <si>
    <t>Area of ACP Sheet Side Walls</t>
  </si>
  <si>
    <t>Area of ACP Sheet Roof</t>
  </si>
  <si>
    <t>ACP panel repair including frame etc Consider 30% of total area</t>
  </si>
  <si>
    <t>Glass Repair/Replacement including frame etc Consider 20% of total area</t>
  </si>
  <si>
    <t xml:space="preserve"> BHS</t>
  </si>
  <si>
    <t>Total ACP Sheet Area</t>
  </si>
  <si>
    <t>Area of Glass Panel</t>
  </si>
  <si>
    <t>Area of Glass Panel both ends</t>
  </si>
  <si>
    <t>Total Glass area</t>
  </si>
  <si>
    <t>Reversible Booth</t>
  </si>
  <si>
    <t>Work Station and Storage</t>
  </si>
  <si>
    <t>Fabrication of work station</t>
  </si>
  <si>
    <t>a</t>
  </si>
  <si>
    <t>Fabrication and Fixing of Work station 1st Floor maintenance room</t>
  </si>
  <si>
    <t>Sqm.</t>
  </si>
  <si>
    <t>b</t>
  </si>
  <si>
    <t>Fabrication and Fixing of Work station Ground Floor admin room</t>
  </si>
  <si>
    <t>Storage cabinet</t>
  </si>
  <si>
    <t>Fabrication and Fixing of Storage cabinet 1st Floor maintenance room</t>
  </si>
  <si>
    <t>Total&gt;&gt;&gt;</t>
  </si>
  <si>
    <t xml:space="preserve">Storage Almirah </t>
  </si>
  <si>
    <t>Fabrication and Fixing of Storage Almirah of full lenth 1st Floor maintenance room and Ground Floor</t>
  </si>
  <si>
    <t>Sign Boards</t>
  </si>
  <si>
    <r>
      <rPr>
        <b/>
        <sz val="9"/>
        <color indexed="8"/>
        <rFont val="Poppins"/>
      </rPr>
      <t>Route Marker NH30  Reflective sticker only</t>
    </r>
    <r>
      <rPr>
        <sz val="9"/>
        <color indexed="8"/>
        <rFont val="Poppins"/>
      </rPr>
      <t>-Supply and fixing of Retro reflective sticker TYPE 11 The scope includes crane charges during fixing on canopy , materials, manpower , ideal charges if any etc, Route Marker NH30 sticker only</t>
    </r>
  </si>
  <si>
    <r>
      <rPr>
        <b/>
        <sz val="9"/>
        <color indexed="8"/>
        <rFont val="Poppins"/>
      </rPr>
      <t>Public Toilet Sign Board with NHAI Logo and Route marker sign-</t>
    </r>
    <r>
      <rPr>
        <sz val="9"/>
        <color indexed="8"/>
        <rFont val="Poppins"/>
      </rPr>
      <t>Providing and fixing of retro- reflectorised cautionary, mandatory and informatory sign as per IRC :67 made of TYPE 11  (Make : 3M Only) reflective sheeting vide clause 801.3 /IRC, fixed over aluminium sheeting, 1.5 mm thick and fixed in toilet building walls.</t>
    </r>
  </si>
  <si>
    <r>
      <rPr>
        <b/>
        <sz val="9"/>
        <color indexed="8"/>
        <rFont val="Poppins"/>
      </rPr>
      <t>Extra wide /Oversized  vehicle Lane Sign Board with NHAI Logo and Lane1-</t>
    </r>
    <r>
      <rPr>
        <sz val="9"/>
        <color indexed="8"/>
        <rFont val="Poppins"/>
      </rPr>
      <t>Providing and fixing of retro- reflectorised cautionary, mandatory and informatory sign as per IRC :67 made of TYPE 11  (Make : 3M Only) reflective sheeting vide clause 801.3 /IRC, fixed over aluminium sheeting, 1.5 mm thick and fixed in canopy lane 1. frame.</t>
    </r>
  </si>
  <si>
    <t>Providing and fixing of retro- reflectorised cautionary, mandatory and informatory sign as per IRC :67 made of TYPE 11  (Make : 3M Only) reflective sheeting vide clause 801.3 /IRC, fixed over aluminium sheeting, 1.5 mm thick supported on a mild steel angle iron post85 &amp; 100 x 6 mm firmly fixed to the ground by means of properly designed foundation with M20 grade cement concrete 45 cm x 45 cm x 60 cm, 60 cm below ground level as per approved drawing) Scope including 10 years of 3M Warrnety ceritificate.</t>
  </si>
  <si>
    <r>
      <rPr>
        <b/>
        <sz val="9"/>
        <color indexed="8"/>
        <rFont val="Poppins"/>
      </rPr>
      <t>Supply &amp; fixing of Two way Hazard Marker</t>
    </r>
    <r>
      <rPr>
        <sz val="9"/>
        <color indexed="8"/>
        <rFont val="Poppins"/>
      </rPr>
      <t xml:space="preserve"> Size- 950*450 with Either side sign Size-600*600 with base plate 450 *450 mm anchoring on Concrete</t>
    </r>
  </si>
  <si>
    <r>
      <rPr>
        <b/>
        <sz val="9"/>
        <color indexed="8"/>
        <rFont val="Poppins"/>
      </rPr>
      <t>Madatory Signbaord Stop</t>
    </r>
    <r>
      <rPr>
        <sz val="9"/>
        <color indexed="8"/>
        <rFont val="Poppins"/>
      </rPr>
      <t xml:space="preserve"> : OCTAGONAL Size : 750 mm</t>
    </r>
  </si>
  <si>
    <t>Supply of Flexible deleanators for Bike lane</t>
  </si>
  <si>
    <t>TOLLPLAZA ADMIN BUILDING (INTERIOR)</t>
  </si>
  <si>
    <t>TOLLPLAZA ADMIN BUILDING (EXTERIOR)</t>
  </si>
  <si>
    <t>Building</t>
  </si>
  <si>
    <t>Van Room</t>
  </si>
  <si>
    <t>Side Wall</t>
  </si>
  <si>
    <t>Front Wall</t>
  </si>
  <si>
    <t>Parapet Wall</t>
  </si>
  <si>
    <t xml:space="preserve">Beam </t>
  </si>
  <si>
    <t>Control Room Glass Area Deduction</t>
  </si>
  <si>
    <t>Ceilling</t>
  </si>
  <si>
    <t>Chajja</t>
  </si>
  <si>
    <t>Gallery Wall-1</t>
  </si>
  <si>
    <t>Chajja Above Window</t>
  </si>
  <si>
    <t>Door Deduction</t>
  </si>
  <si>
    <t>Gallery Wall-2</t>
  </si>
  <si>
    <t>Gallery Wall-3</t>
  </si>
  <si>
    <t>Tunnel Side Wall</t>
  </si>
  <si>
    <t>Front Wall Stair</t>
  </si>
  <si>
    <t>Electrical Meter ROOM PAINTING:</t>
  </si>
  <si>
    <t>Cashup Room</t>
  </si>
  <si>
    <t>Back &amp; Front Wall</t>
  </si>
  <si>
    <t>Back Wall</t>
  </si>
  <si>
    <t>Window Deduction</t>
  </si>
  <si>
    <t>LT ROOM PAINTING:</t>
  </si>
  <si>
    <t>DG ROOM PAINTING:</t>
  </si>
  <si>
    <t>Gallery</t>
  </si>
  <si>
    <t>Wall-1</t>
  </si>
  <si>
    <t>MEDICAL AID ROOM PAINTING:</t>
  </si>
  <si>
    <t>Ventilator Deduction</t>
  </si>
  <si>
    <t>Under Stair</t>
  </si>
  <si>
    <t>Front &amp; Back Wall</t>
  </si>
  <si>
    <t>SECURITY ROOM PAINTING:</t>
  </si>
  <si>
    <t>WEIGH BRIDGE BUILDING PAINTING:</t>
  </si>
  <si>
    <t>Front Window Deduction</t>
  </si>
  <si>
    <t>Side Window Deduction</t>
  </si>
  <si>
    <t>Pantry Area</t>
  </si>
  <si>
    <t>HIGHWAY MINI NEST PAINTING:</t>
  </si>
  <si>
    <t>Toilet Gents</t>
  </si>
  <si>
    <t>Back Window Deduction</t>
  </si>
  <si>
    <t>Toilet Ladies</t>
  </si>
  <si>
    <t>Wall</t>
  </si>
  <si>
    <t>IX</t>
  </si>
  <si>
    <t>TOILET BLOCK PAINTING:</t>
  </si>
  <si>
    <t>Gents Toilet Outside</t>
  </si>
  <si>
    <t>Back Side Wall</t>
  </si>
  <si>
    <t>Chajja Vent</t>
  </si>
  <si>
    <t>Chajja Front Door</t>
  </si>
  <si>
    <t>Chajja Side Wall Door</t>
  </si>
  <si>
    <t>Exhaust Chajja</t>
  </si>
  <si>
    <t>Ceiling</t>
  </si>
  <si>
    <t>Door Deduction (Gents)</t>
  </si>
  <si>
    <t>Ventilator Area Deduction</t>
  </si>
  <si>
    <t>Ventilator Back Side Area Deduction</t>
  </si>
  <si>
    <t>Exhaust Area Deduction</t>
  </si>
  <si>
    <t>Side wall</t>
  </si>
  <si>
    <t>Water Cooler Area Deduction</t>
  </si>
  <si>
    <t>Front &amp; back wall</t>
  </si>
  <si>
    <t>Side Door Deduction</t>
  </si>
  <si>
    <t>Back Door Deduction</t>
  </si>
  <si>
    <t>Total External Painting (Sq.m)</t>
  </si>
  <si>
    <t>Front wall</t>
  </si>
  <si>
    <t>Back wall</t>
  </si>
  <si>
    <t>Column</t>
  </si>
  <si>
    <t>Beam</t>
  </si>
  <si>
    <t xml:space="preserve">UPS Room </t>
  </si>
  <si>
    <t xml:space="preserve">Server Room </t>
  </si>
  <si>
    <t>Open Area</t>
  </si>
  <si>
    <t>Wall B/W DG room &amp; Electrical Room</t>
  </si>
  <si>
    <t>Cill</t>
  </si>
  <si>
    <t>X</t>
  </si>
  <si>
    <t>Physical Disable Toilet</t>
  </si>
  <si>
    <t>Gents Toilet Side Wall</t>
  </si>
  <si>
    <t>Gents Toilet Front &amp; Back Wall</t>
  </si>
  <si>
    <t>partitions Walls</t>
  </si>
  <si>
    <t>Ladies Toilet partition Wall</t>
  </si>
  <si>
    <t>XI</t>
  </si>
  <si>
    <t>NORMAL BOOTH PAINTING:</t>
  </si>
  <si>
    <t>wall</t>
  </si>
  <si>
    <t>Sill</t>
  </si>
  <si>
    <t>XII</t>
  </si>
  <si>
    <t>REVERSABLE BOOTH PAINTING:</t>
  </si>
  <si>
    <t>A2 Side</t>
  </si>
  <si>
    <t>XIII</t>
  </si>
  <si>
    <t xml:space="preserve">Tunnel Painting </t>
  </si>
  <si>
    <t xml:space="preserve">Wall </t>
  </si>
  <si>
    <t>Total Exterior Painting (Sq.m)</t>
  </si>
  <si>
    <t xml:space="preserve">Electric Pole Painting </t>
  </si>
  <si>
    <t>Electric Pole painting</t>
  </si>
  <si>
    <t>Painting Of transformer and Transmission Electic pole Of Toll plaza premises upto 11 m Height</t>
  </si>
  <si>
    <t xml:space="preserve">Toll Plaza Misc </t>
  </si>
  <si>
    <t>New Jersey Barrier: (NJB):</t>
  </si>
  <si>
    <t>W</t>
  </si>
  <si>
    <t>Providing and fixing of M25 Grade drainage slab with scope including materials , manpower, transportations etc.,</t>
  </si>
  <si>
    <t xml:space="preserve">(i) M25 grade concrete </t>
  </si>
  <si>
    <t>(ii) Steel @ 65kg/Cum</t>
  </si>
  <si>
    <t>Providing and fixing of MS structural members for Car &amp; DG  Shed with scope including materials , manpower, transportations etc.</t>
  </si>
  <si>
    <t>DG Shed</t>
  </si>
  <si>
    <t xml:space="preserve">MS 75mm sqare heavy duty </t>
  </si>
  <si>
    <t>MT</t>
  </si>
  <si>
    <t>50 mm square longitudinal truss</t>
  </si>
  <si>
    <t>Car Parking Shed</t>
  </si>
  <si>
    <t xml:space="preserve">Supply &amp; Fixing of GI sheet for DG shed &amp; Car Parking shed with scope including materials , manpower, transportations etc., </t>
  </si>
  <si>
    <t>GI Sheet</t>
  </si>
  <si>
    <t>Dismantling of RCC/PCC upto 100mm</t>
  </si>
  <si>
    <t>Dismantling</t>
  </si>
  <si>
    <t>Damage Terrace Area</t>
  </si>
  <si>
    <t>Toilet Block Misc. Items</t>
  </si>
  <si>
    <t>Water Cooler</t>
  </si>
  <si>
    <t>Exhaust Fan</t>
  </si>
  <si>
    <t xml:space="preserve">Supply of Unskilled Labour </t>
  </si>
  <si>
    <t xml:space="preserve">Brick works : Unforseen repairing work </t>
  </si>
  <si>
    <t xml:space="preserve">M15 Concrete : Unforseen repairing work </t>
  </si>
  <si>
    <t>Door Closer for  Admin Buildings etc.,</t>
  </si>
  <si>
    <t xml:space="preserve">Repairing of water leackage in Toughened glass of Control room </t>
  </si>
  <si>
    <t xml:space="preserve">Down Take pipe for toll plaza canopy with elbow </t>
  </si>
  <si>
    <t>Foundation Concrete M-15</t>
  </si>
  <si>
    <t>DG shed</t>
  </si>
  <si>
    <t>Car shed</t>
  </si>
  <si>
    <t>Landscaping</t>
  </si>
  <si>
    <t>Edge Plants for beautification</t>
  </si>
  <si>
    <t>Plants for Toll Island</t>
  </si>
  <si>
    <t>Supply and fixing of ficus plants 4 feet height with jigo pots 20 inches including labour, material transporation etc.</t>
  </si>
  <si>
    <t>Executive In door Plants</t>
  </si>
  <si>
    <t>Executive Out door Plants</t>
  </si>
  <si>
    <t>Supply of fox tail palm trees for entrance/exit gates</t>
  </si>
  <si>
    <t>Toll Plaza Misc. Painting</t>
  </si>
  <si>
    <t>Toll Separator Kerb, Crash Barrier  &amp; Bullnose Painting</t>
  </si>
  <si>
    <t>Separator</t>
  </si>
  <si>
    <t>i) Outer</t>
  </si>
  <si>
    <t>Crash Barrier</t>
  </si>
  <si>
    <t>ii) Outer</t>
  </si>
  <si>
    <t>iii) Inner</t>
  </si>
  <si>
    <t>iv) Inner</t>
  </si>
  <si>
    <t>v) Crash Barrier</t>
  </si>
  <si>
    <t>vi) Crash Barrier</t>
  </si>
  <si>
    <t>Kerb</t>
  </si>
  <si>
    <t>Separator Kerb</t>
  </si>
  <si>
    <t>Footpath Kerb</t>
  </si>
  <si>
    <t>Weigh Bridge Island Kerb</t>
  </si>
  <si>
    <t>Garden Kerb</t>
  </si>
  <si>
    <t>Bullnose</t>
  </si>
  <si>
    <t>Bullnose entry</t>
  </si>
  <si>
    <t>Bullnose entry top</t>
  </si>
  <si>
    <t>Bullnose exit</t>
  </si>
  <si>
    <t>Bullnose exit top</t>
  </si>
  <si>
    <t xml:space="preserve">NJB </t>
  </si>
  <si>
    <t>Top</t>
  </si>
  <si>
    <t>Front</t>
  </si>
  <si>
    <t>Side</t>
  </si>
  <si>
    <t xml:space="preserve">Total </t>
  </si>
  <si>
    <t>Safety pipe railing 100mm dia MS Pipe re-painting with scope including 2 coats of enamel paints:</t>
  </si>
  <si>
    <t xml:space="preserve">No.of Booths </t>
  </si>
  <si>
    <t>Rmt.</t>
  </si>
  <si>
    <t>MS Round pipe railing 50mm dia MS Pipe re-painting with scope including 2 coats of enamel paints: Post height 1.3m</t>
  </si>
  <si>
    <t>Railing</t>
  </si>
  <si>
    <t>MS Parking Shed re-painting with scope including 2 coats of enamel paints</t>
  </si>
  <si>
    <t xml:space="preserve">Parking Area Shed </t>
  </si>
  <si>
    <t>Column Back Side</t>
  </si>
  <si>
    <t>Column Front Side</t>
  </si>
  <si>
    <t xml:space="preserve">Rest Area Shed </t>
  </si>
  <si>
    <t>Column Upper Height</t>
  </si>
  <si>
    <t>Transeverse Beam</t>
  </si>
  <si>
    <t>Longitudinal Beam</t>
  </si>
  <si>
    <t>Front &amp; Back</t>
  </si>
  <si>
    <t>Round Pipe 50mm</t>
  </si>
  <si>
    <t>Feeder Panel</t>
  </si>
  <si>
    <t>Front Side</t>
  </si>
  <si>
    <t>Side Face</t>
  </si>
  <si>
    <t>Stand</t>
  </si>
  <si>
    <t xml:space="preserve">For 2 nos </t>
  </si>
  <si>
    <t>Application of 2 coats enamel paint on Roller shutter on Van room with scope including paint , manpower, tools &amp; tackles etc.,</t>
  </si>
  <si>
    <t xml:space="preserve">Van Room </t>
  </si>
  <si>
    <t>Total 1 Nos , Considered 2 Nos since painting to be done both sides of shutter.</t>
  </si>
  <si>
    <t>Tunnel Booth Stairs Painting</t>
  </si>
  <si>
    <t xml:space="preserve"> MS Stairs Painting ( Enamel paint)</t>
  </si>
  <si>
    <t>Area of trapezoidal</t>
  </si>
  <si>
    <t xml:space="preserve"> Area Round Pipe</t>
  </si>
  <si>
    <t>Area of verical structural 50mm strip</t>
  </si>
  <si>
    <t>Area of step</t>
  </si>
  <si>
    <t>Area of one stair</t>
  </si>
  <si>
    <t xml:space="preserve">False Ceiling </t>
  </si>
  <si>
    <t>NJB</t>
  </si>
  <si>
    <t>BBS</t>
  </si>
  <si>
    <t>Sn</t>
  </si>
  <si>
    <t>Bar Mark</t>
  </si>
  <si>
    <t>Dia of bar</t>
  </si>
  <si>
    <t>Unit Weight</t>
  </si>
  <si>
    <t>Shape/Size</t>
  </si>
  <si>
    <t>Space</t>
  </si>
  <si>
    <t>Cutting Length</t>
  </si>
  <si>
    <t>Total Length</t>
  </si>
  <si>
    <t>Qty( Kg)</t>
  </si>
  <si>
    <t>Mk-1</t>
  </si>
  <si>
    <t>Casting of RCC new jercy crash barrier for traffic channelization at Toll plaza . (M-25)</t>
  </si>
  <si>
    <t>MK-2</t>
  </si>
  <si>
    <t>As per drwg</t>
  </si>
  <si>
    <t>Steel</t>
  </si>
  <si>
    <t>Hook</t>
  </si>
  <si>
    <t>Total</t>
  </si>
  <si>
    <t>Toll plaza Boundary/MS Railing</t>
  </si>
  <si>
    <t xml:space="preserve">Precast and prestressed boundary wall including paiting in front face </t>
  </si>
  <si>
    <t>MS Round Pipe Railing in plaza premises in damaged/gap location including painting</t>
  </si>
  <si>
    <t>Supply of MS round PIPE of 50 mm dia for railing including enamel painting two coats</t>
  </si>
  <si>
    <t>MS Gate</t>
  </si>
  <si>
    <t>Toll plaza Entry /Exit gates</t>
  </si>
  <si>
    <t>Excavation in granular and all types of soils</t>
  </si>
  <si>
    <t>Cum.</t>
  </si>
  <si>
    <t>PCC for Open foundation work M-15</t>
  </si>
  <si>
    <t>Column wall footing- M25</t>
  </si>
  <si>
    <t>Column wall RCC -M25</t>
  </si>
  <si>
    <t>Kg.</t>
  </si>
  <si>
    <t>Considering 2 % of steel concrete qty.</t>
  </si>
  <si>
    <t>Supply of MS gate for Entry/Exit and DG room</t>
  </si>
  <si>
    <t>Entry gate Bareilly End (clear Opening size 6.5m *2.8 m)</t>
  </si>
  <si>
    <t>Considering weight 85kg/sqm.</t>
  </si>
  <si>
    <t xml:space="preserve"> Main Centre Entry Gate Toll plaza (Clear Opening size 7.5m *2.8 m)</t>
  </si>
  <si>
    <t>c</t>
  </si>
  <si>
    <t>Entry Gate Sitapur End (Clear Opening size 5.5m *2.8 m)</t>
  </si>
  <si>
    <t>d</t>
  </si>
  <si>
    <t>DG Set Room (Clear Opening size 4.5m *2.8 m)</t>
  </si>
  <si>
    <t>Total Weight In Kg.&gt;&gt;&gt;&gt;</t>
  </si>
  <si>
    <t>Providing and Fixing of Tiles</t>
  </si>
  <si>
    <t>Chequerred Tiles</t>
  </si>
  <si>
    <t>Providing and fixing of Terra Cotta Checkerd Tiles in Drain cum footpath and Public toilet Area.</t>
  </si>
  <si>
    <t xml:space="preserve">Providing and fixing of Checkerd Tiles Under DG shed </t>
  </si>
  <si>
    <t>Providing and fixing of Checkerd Tiles in Drain cum footpath and Public toilet Area.</t>
  </si>
  <si>
    <t xml:space="preserve">Highway Nest </t>
  </si>
  <si>
    <t>Bareilly Side</t>
  </si>
  <si>
    <t>Sitapur Side</t>
  </si>
  <si>
    <t>Roof Heat Resistance Tile</t>
  </si>
  <si>
    <t>Providing and fixing of Heat Resistence Tiles in plaza admin building with scope including materials , manpower, transportations etc.,</t>
  </si>
  <si>
    <t>Terrace Area</t>
  </si>
  <si>
    <t>Floor Tiles</t>
  </si>
  <si>
    <t>Providing and fixing of Floor Tiles with scope including materials , manpower, transportations etc.,</t>
  </si>
  <si>
    <t>Stair Case Tiles</t>
  </si>
  <si>
    <t>Mini Nest Floor Tiles</t>
  </si>
  <si>
    <t>Normal Booth Floor Tiles</t>
  </si>
  <si>
    <t>Reversable Booth Floor Tiles</t>
  </si>
  <si>
    <t>A1Side</t>
  </si>
  <si>
    <t xml:space="preserve">Unforseen </t>
  </si>
  <si>
    <t>Skirting</t>
  </si>
  <si>
    <t>Providing and fixing of  Skirting Floor Tiles with scope including materials , manpower, transportations etc.,</t>
  </si>
  <si>
    <t>Mini Nest Floor Tiles Skerting</t>
  </si>
  <si>
    <t>Admin Room Ground Floor</t>
  </si>
  <si>
    <t>Operation manager Room Ground Floor</t>
  </si>
  <si>
    <t>Supply &amp; Fixing of Granite Stone Furnished with moulding (polished) above 0.50 sqm slab 18mm thick as per standard specifications.</t>
  </si>
  <si>
    <t>Jamb</t>
  </si>
  <si>
    <t>Toll Plaza Canopy Painting</t>
  </si>
  <si>
    <t xml:space="preserve">Vertical Column </t>
  </si>
  <si>
    <t>Vertical Column Dia 356mm</t>
  </si>
  <si>
    <t>Vertical Column Base Plate</t>
  </si>
  <si>
    <t>Downtake Drainage Pipe</t>
  </si>
  <si>
    <t>Total Quantity (Sqm)</t>
  </si>
  <si>
    <t>Top Truss Member</t>
  </si>
  <si>
    <t>Top Members</t>
  </si>
  <si>
    <t>Top Support</t>
  </si>
  <si>
    <t xml:space="preserve">Diagonal Truss Member </t>
  </si>
  <si>
    <t xml:space="preserve">Diagonal Member </t>
  </si>
  <si>
    <t>Bottom Truss Member</t>
  </si>
  <si>
    <t>Bottom Members</t>
  </si>
  <si>
    <t>Purlin framming</t>
  </si>
  <si>
    <t xml:space="preserve">Front facia framing-1 </t>
  </si>
  <si>
    <t>Front facia framing-2</t>
  </si>
  <si>
    <t>Total Quantity (Rm)</t>
  </si>
  <si>
    <t xml:space="preserve">Plumbing and Sanitary Items </t>
  </si>
  <si>
    <t>Flushing Cistern P.V.C. 10 lts capacity (low level) (White) (with fittings, accessories and flush pipe)</t>
  </si>
  <si>
    <t>Vitreous china squatting plate urinal with top inlet including CI bracket C.P. brass waste 32 mm.</t>
  </si>
  <si>
    <t xml:space="preserve">Vitreous china wall hanging wash basin 450x300 mm with 15 mm C.P. brass tap with elbow operation 
lever including all fitting ,labour and others consumables like water outlet pipe ,CI Bracket C.P. brass waste 32 mm etc. </t>
  </si>
  <si>
    <t xml:space="preserve">PVC Pipe 1" </t>
  </si>
  <si>
    <t>Feet</t>
  </si>
  <si>
    <t>Will be used as per unforseen requirement</t>
  </si>
  <si>
    <t xml:space="preserve">PVC Pipe 2" </t>
  </si>
  <si>
    <t>Down Take pipe  with elbow for admin and Traffic Aid building &amp; Public Toilet Blocks</t>
  </si>
  <si>
    <r>
      <t>Repairing of water leackage in toilet blocks, admin building &amp; pantry</t>
    </r>
    <r>
      <rPr>
        <sz val="9"/>
        <color indexed="8"/>
        <rFont val="Poppins"/>
      </rPr>
      <t xml:space="preserve"> as per requirements including all manpower &amp; consumable charges.</t>
    </r>
  </si>
  <si>
    <t xml:space="preserve">Water Supply Connection to over head tank of traffic Aid Building  from submersible point </t>
  </si>
  <si>
    <t>Connection of Waste water Pipe 100 mm dia with septic tank ( Traffic Aid &amp; Medical Aid Building)</t>
  </si>
  <si>
    <t>Details of Electrical equipments at Faridpur Toll Plaza ( First Floor)</t>
  </si>
  <si>
    <t>S. No.</t>
  </si>
  <si>
    <t>Description</t>
  </si>
  <si>
    <t>Server Room no. 4 (First Floor)</t>
  </si>
  <si>
    <t>Remarks</t>
  </si>
  <si>
    <t>Frist Floor</t>
  </si>
  <si>
    <t>Ceiling Light</t>
  </si>
  <si>
    <t>Uom.</t>
  </si>
  <si>
    <t>Available Quantity</t>
  </si>
  <si>
    <t>Required Quantity</t>
  </si>
  <si>
    <t>Ceiling fan</t>
  </si>
  <si>
    <t>6 Modular Switch Board</t>
  </si>
  <si>
    <t>Ceiling  fan</t>
  </si>
  <si>
    <t>3 Modular Switch Board</t>
  </si>
  <si>
    <t>Batten Light</t>
  </si>
  <si>
    <t>16 Amp Socket</t>
  </si>
  <si>
    <t>Modular MCB- 32 Amp for AC</t>
  </si>
  <si>
    <t>16 Amp Switch</t>
  </si>
  <si>
    <t>12 Modular Switch Board</t>
  </si>
  <si>
    <t>6 Amp Socket</t>
  </si>
  <si>
    <t>8 Modular Switch Board</t>
  </si>
  <si>
    <t>6 Amp Switch</t>
  </si>
  <si>
    <t>Regulator</t>
  </si>
  <si>
    <t>Blank</t>
  </si>
  <si>
    <t>Batten light</t>
  </si>
  <si>
    <t>UPS Room ( ATMS)</t>
  </si>
  <si>
    <t>MCB Box</t>
  </si>
  <si>
    <t>LED Bulb</t>
  </si>
  <si>
    <t>Indicator</t>
  </si>
  <si>
    <t xml:space="preserve">16 Amp Switch </t>
  </si>
  <si>
    <t>4 Modular Switch Board</t>
  </si>
  <si>
    <t>Exhaust fan</t>
  </si>
  <si>
    <t>Wall Mounted Switch Board</t>
  </si>
  <si>
    <t>Wall Mounted fan</t>
  </si>
  <si>
    <t>Wall mounted switch Board</t>
  </si>
  <si>
    <t>Control Room No. 3</t>
  </si>
  <si>
    <t xml:space="preserve">Wall conduiting with groove cutting </t>
  </si>
  <si>
    <t>GI metal box 12 Module</t>
  </si>
  <si>
    <t>Round electrical junction box</t>
  </si>
  <si>
    <t>Switch Board with 3 Socket</t>
  </si>
  <si>
    <t>Copper wire 1.5 sqmm ( Red) ( Length- 90 m)</t>
  </si>
  <si>
    <t>Copper wire 2.5 sqmm ( Red) (Length-90 m.)</t>
  </si>
  <si>
    <t>Supply of Flexible round Electrical conduit Pipe 25 MM ( Unforseen Wiring)</t>
  </si>
  <si>
    <t>Supply of Electrical conduit Tube 25 MM ( Unforseen Wiring)</t>
  </si>
  <si>
    <t>Gallery - First Floor</t>
  </si>
  <si>
    <t>Room No. 2 (First Floor)</t>
  </si>
  <si>
    <t>Modular MCB</t>
  </si>
  <si>
    <t xml:space="preserve"> </t>
  </si>
  <si>
    <t>Room No. 1 (First Floor)</t>
  </si>
  <si>
    <t xml:space="preserve">6 Amp Switch </t>
  </si>
  <si>
    <t>Room No. 5 (First Floor)</t>
  </si>
  <si>
    <t>Room No. 6 (ATMS Room)</t>
  </si>
  <si>
    <t>Wall Mounted 12 Modular Switch Board</t>
  </si>
  <si>
    <t>UPS Room TMS (First Floor)</t>
  </si>
  <si>
    <t>Details of Electrical equipments at Faridpur Toll Plaza( Ground Floor)</t>
  </si>
  <si>
    <t>Ground Floor</t>
  </si>
  <si>
    <t>HR Room (Ground Floor)</t>
  </si>
  <si>
    <t>Fan</t>
  </si>
  <si>
    <t>1 Bulb missing</t>
  </si>
  <si>
    <t>VAN Room (Ground Floor)</t>
  </si>
  <si>
    <t>Fan Missing</t>
  </si>
  <si>
    <t>GI metal Box 12 Module</t>
  </si>
  <si>
    <t>32 Amp MCB</t>
  </si>
  <si>
    <t>Cash Room (Ground Floor)</t>
  </si>
  <si>
    <t>Wall Mounted Junction Box</t>
  </si>
  <si>
    <t>Reception Hall</t>
  </si>
  <si>
    <t>Ceiling Fan</t>
  </si>
  <si>
    <t>2 Damage</t>
  </si>
  <si>
    <t xml:space="preserve">Round Sheet </t>
  </si>
  <si>
    <t xml:space="preserve"> Ceiling Light</t>
  </si>
  <si>
    <t>Gallary</t>
  </si>
  <si>
    <t>Additional Wiring Required</t>
  </si>
  <si>
    <t>-</t>
  </si>
  <si>
    <t>Replacement</t>
  </si>
  <si>
    <t>Pantry Room (Ground Floor)</t>
  </si>
  <si>
    <t>Men's Toilet (Inner Building)</t>
  </si>
  <si>
    <t>2 Bulb Damage</t>
  </si>
  <si>
    <t>Women's Toilet (Inner Building)</t>
  </si>
  <si>
    <t>Men's Toilet (Outer Building)</t>
  </si>
  <si>
    <t>Store Room (Outer Building)</t>
  </si>
  <si>
    <t>16 Amp socket</t>
  </si>
  <si>
    <t>16 Amp switch</t>
  </si>
  <si>
    <t xml:space="preserve">Fan </t>
  </si>
  <si>
    <t>Manager's Room</t>
  </si>
  <si>
    <t>Wiring Required</t>
  </si>
  <si>
    <t xml:space="preserve">Exhaust Fan </t>
  </si>
  <si>
    <t>Holder</t>
  </si>
  <si>
    <t>Guard Room</t>
  </si>
  <si>
    <t>25 Amp MCB</t>
  </si>
  <si>
    <t>DG Room</t>
  </si>
  <si>
    <t>Wiring + Conduiting</t>
  </si>
  <si>
    <t>6 Amp Switch Board</t>
  </si>
  <si>
    <t>LT Room</t>
  </si>
  <si>
    <t>Meter Room</t>
  </si>
  <si>
    <t>Toilet Block BHS</t>
  </si>
  <si>
    <t>MCB Box Missing</t>
  </si>
  <si>
    <t>Static Weigh Bridge BHS</t>
  </si>
  <si>
    <t>Highway Mini Nest BHS</t>
  </si>
  <si>
    <t>Wall Mounted Fan</t>
  </si>
  <si>
    <t>All Booths</t>
  </si>
  <si>
    <t>Highway Nest Mini</t>
  </si>
  <si>
    <t>Cash Up Room</t>
  </si>
  <si>
    <t>Static Weigh Bridge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</si>
</sst>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00"/>
    <numFmt numFmtId="166" formatCode="0.0"/>
    <numFmt numFmtId="167" formatCode="_(* #,##0.000_);_(* \(#,##0.000\);_(* &quot;-&quot;??_);_(@_)"/>
    <numFmt numFmtId="168" formatCode="_(* #,##0_);_(* \(#,##0\);_(* &quot;-&quot;??_);_(@_)"/>
  </numFmts>
  <fonts count="32" x14ac:knownFonts="1">
    <font>
      <sz val="11"/>
      <color theme="1"/>
      <name val="Calibri"/>
      <family val="2"/>
      <scheme val="minor"/>
    </font>
    <font>
      <sz val="10"/>
      <name val="Poppins"/>
    </font>
    <font>
      <sz val="10"/>
      <color indexed="8"/>
      <name val="Poppins"/>
    </font>
    <font>
      <b/>
      <sz val="10"/>
      <name val="Poppins"/>
    </font>
    <font>
      <b/>
      <sz val="10"/>
      <color indexed="8"/>
      <name val="Poppins"/>
    </font>
    <font>
      <sz val="10"/>
      <name val="Arial"/>
      <family val="2"/>
    </font>
    <font>
      <b/>
      <u/>
      <sz val="10"/>
      <color indexed="8"/>
      <name val="Poppins"/>
    </font>
    <font>
      <sz val="11"/>
      <color indexed="8"/>
      <name val="Poppins"/>
    </font>
    <font>
      <b/>
      <sz val="11"/>
      <color indexed="8"/>
      <name val="Poppins"/>
    </font>
    <font>
      <b/>
      <sz val="9"/>
      <color indexed="8"/>
      <name val="Poppins"/>
    </font>
    <font>
      <sz val="9"/>
      <color indexed="8"/>
      <name val="Poppins"/>
    </font>
    <font>
      <b/>
      <u/>
      <sz val="9"/>
      <color indexed="8"/>
      <name val="Poppins"/>
    </font>
    <font>
      <b/>
      <u/>
      <sz val="10"/>
      <name val="Poppins"/>
    </font>
    <font>
      <sz val="9"/>
      <name val="Poppins"/>
    </font>
    <font>
      <b/>
      <sz val="9"/>
      <name val="Poppins"/>
    </font>
    <font>
      <sz val="8"/>
      <name val="Calibri"/>
      <family val="2"/>
    </font>
    <font>
      <b/>
      <sz val="10"/>
      <color indexed="10"/>
      <name val="Poppins"/>
    </font>
    <font>
      <sz val="11"/>
      <color theme="1"/>
      <name val="Calibri"/>
      <family val="2"/>
      <scheme val="minor"/>
    </font>
    <font>
      <sz val="10"/>
      <color rgb="FF000000"/>
      <name val="Times New Roman"/>
      <family val="1"/>
    </font>
    <font>
      <sz val="10"/>
      <color theme="1"/>
      <name val="Poppins"/>
    </font>
    <font>
      <b/>
      <sz val="10"/>
      <color theme="1"/>
      <name val="Poppins"/>
    </font>
    <font>
      <sz val="11"/>
      <color theme="1"/>
      <name val="Poppins"/>
    </font>
    <font>
      <b/>
      <u/>
      <sz val="10"/>
      <color theme="1"/>
      <name val="Poppins"/>
    </font>
    <font>
      <sz val="9"/>
      <color theme="1"/>
      <name val="Poppins"/>
    </font>
    <font>
      <sz val="10"/>
      <color rgb="FF000000"/>
      <name val="Poppins"/>
    </font>
    <font>
      <b/>
      <sz val="9"/>
      <color theme="1"/>
      <name val="Poppins"/>
    </font>
    <font>
      <i/>
      <sz val="9"/>
      <color theme="1"/>
      <name val="Poppins"/>
    </font>
    <font>
      <b/>
      <i/>
      <sz val="9"/>
      <color theme="1"/>
      <name val="Poppins"/>
    </font>
    <font>
      <b/>
      <u/>
      <sz val="9"/>
      <color theme="1"/>
      <name val="Poppins"/>
    </font>
    <font>
      <sz val="10"/>
      <color rgb="FFFF0000"/>
      <name val="Poppins"/>
    </font>
    <font>
      <b/>
      <sz val="12"/>
      <color theme="1"/>
      <name val="Poppins"/>
    </font>
    <font>
      <b/>
      <sz val="12"/>
      <name val="Poppins"/>
    </font>
  </fonts>
  <fills count="11">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bgColor indexed="64"/>
      </patternFill>
    </fill>
    <fill>
      <patternFill patternType="solid">
        <fgColor theme="4" tint="0.59999389629810485"/>
        <bgColor indexed="64"/>
      </patternFill>
    </fill>
    <fill>
      <patternFill patternType="solid">
        <fgColor rgb="FFFFC0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164" fontId="17" fillId="0" borderId="0" applyFont="0" applyFill="0" applyBorder="0" applyAlignment="0" applyProtection="0"/>
    <xf numFmtId="0" fontId="5" fillId="0" borderId="0"/>
    <xf numFmtId="0" fontId="18" fillId="0" borderId="0"/>
    <xf numFmtId="0" fontId="17" fillId="0" borderId="0"/>
  </cellStyleXfs>
  <cellXfs count="491">
    <xf numFmtId="0" fontId="0" fillId="0" borderId="0" xfId="0"/>
    <xf numFmtId="0" fontId="19" fillId="0" borderId="1" xfId="0" applyFont="1" applyBorder="1" applyAlignment="1">
      <alignment vertical="center" wrapText="1"/>
    </xf>
    <xf numFmtId="0" fontId="1" fillId="0" borderId="47" xfId="3" applyFont="1" applyBorder="1" applyAlignment="1">
      <alignment horizontal="left" vertical="top" wrapText="1"/>
    </xf>
    <xf numFmtId="0" fontId="19" fillId="0" borderId="0" xfId="0" applyFont="1" applyAlignment="1">
      <alignment vertical="center"/>
    </xf>
    <xf numFmtId="0" fontId="20" fillId="2" borderId="1" xfId="0" applyFont="1" applyFill="1" applyBorder="1" applyAlignment="1">
      <alignment horizontal="center" vertical="center" wrapText="1"/>
    </xf>
    <xf numFmtId="0" fontId="19" fillId="3" borderId="1" xfId="0" applyFont="1" applyFill="1" applyBorder="1" applyAlignment="1">
      <alignment horizontal="center" vertical="center"/>
    </xf>
    <xf numFmtId="2" fontId="19" fillId="0" borderId="1" xfId="0" applyNumberFormat="1" applyFont="1" applyBorder="1" applyAlignment="1">
      <alignment horizontal="center" vertical="center"/>
    </xf>
    <xf numFmtId="164" fontId="19" fillId="0" borderId="1" xfId="1" applyFont="1" applyBorder="1" applyAlignment="1">
      <alignment horizontal="center" vertical="center"/>
    </xf>
    <xf numFmtId="0" fontId="19" fillId="0" borderId="0" xfId="0" applyFont="1"/>
    <xf numFmtId="0" fontId="19" fillId="0" borderId="1" xfId="0" applyFont="1" applyBorder="1" applyAlignment="1">
      <alignment wrapText="1"/>
    </xf>
    <xf numFmtId="0" fontId="19" fillId="2" borderId="1" xfId="0" applyFont="1" applyFill="1" applyBorder="1" applyAlignment="1">
      <alignment horizontal="center" vertical="center"/>
    </xf>
    <xf numFmtId="164" fontId="19" fillId="2" borderId="1" xfId="1" applyFont="1" applyFill="1" applyBorder="1" applyAlignment="1">
      <alignment horizontal="center" vertical="center"/>
    </xf>
    <xf numFmtId="0" fontId="20" fillId="3" borderId="1" xfId="0" applyFont="1" applyFill="1" applyBorder="1" applyAlignment="1">
      <alignment horizontal="center" vertical="center"/>
    </xf>
    <xf numFmtId="0" fontId="19" fillId="0" borderId="1" xfId="0" applyFont="1" applyBorder="1" applyAlignment="1">
      <alignment vertical="center"/>
    </xf>
    <xf numFmtId="0" fontId="20" fillId="0" borderId="1" xfId="0" applyFont="1" applyBorder="1" applyAlignment="1">
      <alignment vertical="center" wrapText="1"/>
    </xf>
    <xf numFmtId="0" fontId="20" fillId="3" borderId="1" xfId="0" applyFont="1" applyFill="1" applyBorder="1" applyAlignment="1">
      <alignment vertical="center" wrapText="1"/>
    </xf>
    <xf numFmtId="0" fontId="3" fillId="3" borderId="1" xfId="0" applyFont="1" applyFill="1" applyBorder="1" applyAlignment="1">
      <alignment vertical="center" wrapText="1"/>
    </xf>
    <xf numFmtId="0" fontId="19" fillId="3" borderId="1" xfId="0" applyFont="1" applyFill="1" applyBorder="1" applyAlignment="1">
      <alignment vertical="center"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xf>
    <xf numFmtId="0" fontId="19" fillId="0" borderId="0" xfId="0" applyFont="1" applyAlignment="1">
      <alignment horizontal="center"/>
    </xf>
    <xf numFmtId="0" fontId="20" fillId="0" borderId="1" xfId="0" applyFont="1" applyBorder="1" applyAlignment="1">
      <alignment horizontal="left" vertical="center" wrapText="1"/>
    </xf>
    <xf numFmtId="0" fontId="2" fillId="3" borderId="1" xfId="0" applyFont="1" applyFill="1" applyBorder="1" applyAlignment="1">
      <alignment vertical="center" wrapText="1"/>
    </xf>
    <xf numFmtId="0" fontId="19" fillId="0" borderId="2" xfId="0" applyFont="1" applyBorder="1" applyAlignment="1">
      <alignment horizontal="center" vertical="center"/>
    </xf>
    <xf numFmtId="0" fontId="19" fillId="0" borderId="1" xfId="0" applyFont="1" applyBorder="1" applyAlignment="1">
      <alignment horizontal="center" vertical="center"/>
    </xf>
    <xf numFmtId="164" fontId="20" fillId="2" borderId="1" xfId="1" applyFont="1" applyFill="1" applyBorder="1" applyAlignment="1">
      <alignment horizontal="center" vertical="center"/>
    </xf>
    <xf numFmtId="164" fontId="19" fillId="3" borderId="1" xfId="1" applyFont="1" applyFill="1" applyBorder="1" applyAlignment="1">
      <alignment horizontal="center" vertical="center"/>
    </xf>
    <xf numFmtId="164" fontId="19" fillId="0" borderId="0" xfId="1" applyFont="1" applyAlignment="1">
      <alignment horizontal="center" vertical="center"/>
    </xf>
    <xf numFmtId="0" fontId="19" fillId="0" borderId="1" xfId="0" applyFont="1" applyBorder="1" applyAlignment="1">
      <alignment horizontal="left" wrapText="1"/>
    </xf>
    <xf numFmtId="0" fontId="20" fillId="0" borderId="0" xfId="0" applyFont="1" applyAlignment="1">
      <alignment horizontal="center" vertical="center"/>
    </xf>
    <xf numFmtId="0" fontId="19" fillId="0" borderId="4" xfId="0" applyFont="1" applyBorder="1"/>
    <xf numFmtId="0" fontId="19" fillId="0" borderId="4" xfId="0" applyFont="1" applyBorder="1" applyAlignment="1">
      <alignment horizontal="center"/>
    </xf>
    <xf numFmtId="0" fontId="20" fillId="0" borderId="6" xfId="0" applyFont="1" applyBorder="1" applyAlignment="1">
      <alignment horizontal="center" vertical="center"/>
    </xf>
    <xf numFmtId="0" fontId="19" fillId="3" borderId="8" xfId="0" applyFont="1" applyFill="1" applyBorder="1" applyAlignment="1">
      <alignment horizontal="center" vertical="center"/>
    </xf>
    <xf numFmtId="0" fontId="20" fillId="3" borderId="0" xfId="0" applyFont="1" applyFill="1" applyAlignment="1">
      <alignment horizontal="center" vertical="center"/>
    </xf>
    <xf numFmtId="0" fontId="20" fillId="2" borderId="1" xfId="0" applyFont="1" applyFill="1" applyBorder="1" applyAlignment="1">
      <alignment horizontal="center" vertical="center"/>
    </xf>
    <xf numFmtId="0" fontId="19" fillId="0" borderId="1" xfId="0" applyFont="1" applyBorder="1" applyAlignment="1">
      <alignment horizontal="left" vertical="center" wrapText="1"/>
    </xf>
    <xf numFmtId="0" fontId="19" fillId="0" borderId="8" xfId="0" applyFont="1" applyBorder="1" applyAlignment="1">
      <alignment horizontal="center" vertical="center"/>
    </xf>
    <xf numFmtId="0" fontId="19" fillId="3" borderId="1" xfId="0" applyFont="1" applyFill="1" applyBorder="1" applyAlignment="1">
      <alignment vertical="center"/>
    </xf>
    <xf numFmtId="0" fontId="19" fillId="4" borderId="1" xfId="0" applyFont="1" applyFill="1" applyBorder="1" applyAlignment="1">
      <alignment horizontal="center" vertical="center"/>
    </xf>
    <xf numFmtId="164" fontId="19" fillId="4" borderId="1" xfId="1" applyFont="1" applyFill="1" applyBorder="1" applyAlignment="1">
      <alignment horizontal="center" vertical="center"/>
    </xf>
    <xf numFmtId="2" fontId="19" fillId="4" borderId="1" xfId="0" applyNumberFormat="1" applyFont="1" applyFill="1" applyBorder="1" applyAlignment="1">
      <alignment horizontal="center" vertical="center"/>
    </xf>
    <xf numFmtId="0" fontId="20" fillId="4" borderId="1" xfId="0" applyFont="1" applyFill="1" applyBorder="1" applyAlignment="1">
      <alignment horizontal="center" vertical="center"/>
    </xf>
    <xf numFmtId="164" fontId="20" fillId="4" borderId="1" xfId="1" applyFont="1" applyFill="1" applyBorder="1" applyAlignment="1">
      <alignment horizontal="center" vertical="center"/>
    </xf>
    <xf numFmtId="0" fontId="20" fillId="4" borderId="1" xfId="0" applyFont="1" applyFill="1" applyBorder="1" applyAlignment="1">
      <alignment horizontal="center" vertical="center" wrapText="1"/>
    </xf>
    <xf numFmtId="0" fontId="20" fillId="4" borderId="1" xfId="0" applyFont="1" applyFill="1" applyBorder="1" applyAlignment="1">
      <alignment vertical="top" wrapText="1"/>
    </xf>
    <xf numFmtId="0" fontId="20" fillId="5" borderId="1" xfId="0" applyFont="1" applyFill="1" applyBorder="1" applyAlignment="1">
      <alignment horizontal="center" vertical="center"/>
    </xf>
    <xf numFmtId="164" fontId="20" fillId="5" borderId="1" xfId="1" applyFont="1" applyFill="1" applyBorder="1" applyAlignment="1">
      <alignment horizontal="center" vertical="center"/>
    </xf>
    <xf numFmtId="0" fontId="20" fillId="5" borderId="1" xfId="0" applyFont="1" applyFill="1" applyBorder="1" applyAlignment="1">
      <alignment horizontal="center" vertical="center" wrapText="1"/>
    </xf>
    <xf numFmtId="0" fontId="21" fillId="0" borderId="1" xfId="4" applyFont="1" applyBorder="1" applyAlignment="1">
      <alignment vertical="top" wrapText="1"/>
    </xf>
    <xf numFmtId="0" fontId="19" fillId="0" borderId="1" xfId="4" applyFont="1" applyBorder="1" applyAlignment="1">
      <alignment vertical="top" wrapText="1"/>
    </xf>
    <xf numFmtId="168" fontId="19" fillId="0" borderId="1" xfId="1" applyNumberFormat="1" applyFont="1" applyBorder="1" applyAlignment="1">
      <alignment horizontal="center" vertical="center"/>
    </xf>
    <xf numFmtId="0" fontId="22" fillId="0" borderId="1" xfId="0" applyFont="1" applyBorder="1" applyAlignment="1">
      <alignment wrapText="1"/>
    </xf>
    <xf numFmtId="0" fontId="23" fillId="0" borderId="1" xfId="4" applyFont="1" applyBorder="1" applyAlignment="1">
      <alignment vertical="top" wrapText="1"/>
    </xf>
    <xf numFmtId="0" fontId="23" fillId="0" borderId="1" xfId="0" applyFont="1" applyBorder="1" applyAlignment="1">
      <alignment vertical="top" wrapText="1"/>
    </xf>
    <xf numFmtId="0" fontId="19" fillId="0" borderId="1" xfId="0" applyFont="1" applyBorder="1" applyAlignment="1">
      <alignment horizontal="center" vertical="center" wrapText="1"/>
    </xf>
    <xf numFmtId="0" fontId="1" fillId="0" borderId="1" xfId="0" applyFont="1" applyBorder="1" applyAlignment="1">
      <alignment vertical="center" wrapText="1"/>
    </xf>
    <xf numFmtId="0" fontId="24" fillId="0" borderId="1" xfId="0" applyFont="1" applyBorder="1" applyAlignment="1">
      <alignment vertical="center" wrapText="1"/>
    </xf>
    <xf numFmtId="0" fontId="2" fillId="0" borderId="1" xfId="0" applyFont="1" applyBorder="1" applyAlignment="1">
      <alignment wrapText="1"/>
    </xf>
    <xf numFmtId="0" fontId="20" fillId="3" borderId="2" xfId="0" applyFont="1" applyFill="1" applyBorder="1" applyAlignment="1">
      <alignment vertical="center" wrapText="1"/>
    </xf>
    <xf numFmtId="166" fontId="19" fillId="0" borderId="2" xfId="0" applyNumberFormat="1" applyFont="1" applyBorder="1" applyAlignment="1">
      <alignment horizontal="center" vertical="center"/>
    </xf>
    <xf numFmtId="0" fontId="20" fillId="3" borderId="1" xfId="0" applyFont="1" applyFill="1" applyBorder="1" applyAlignment="1">
      <alignment horizontal="center" vertical="center" wrapText="1"/>
    </xf>
    <xf numFmtId="0" fontId="23" fillId="0" borderId="1" xfId="0" applyFont="1" applyBorder="1" applyAlignment="1">
      <alignment wrapText="1"/>
    </xf>
    <xf numFmtId="0" fontId="19" fillId="0" borderId="2" xfId="0" applyFont="1" applyBorder="1" applyAlignment="1">
      <alignment vertical="center"/>
    </xf>
    <xf numFmtId="168" fontId="19" fillId="0" borderId="1" xfId="1" applyNumberFormat="1" applyFont="1" applyBorder="1" applyAlignment="1">
      <alignment vertical="center"/>
    </xf>
    <xf numFmtId="2" fontId="19" fillId="0" borderId="1" xfId="0" quotePrefix="1" applyNumberFormat="1" applyFont="1" applyBorder="1" applyAlignment="1">
      <alignment horizontal="center" vertical="center"/>
    </xf>
    <xf numFmtId="0" fontId="2" fillId="3" borderId="1" xfId="0" applyFont="1" applyFill="1" applyBorder="1" applyAlignment="1">
      <alignment vertical="top" wrapText="1"/>
    </xf>
    <xf numFmtId="0" fontId="20" fillId="2" borderId="8" xfId="0" applyFont="1" applyFill="1" applyBorder="1" applyAlignment="1">
      <alignment horizontal="center" vertical="center"/>
    </xf>
    <xf numFmtId="0" fontId="20" fillId="5" borderId="8" xfId="0" applyFont="1" applyFill="1" applyBorder="1" applyAlignment="1">
      <alignment horizontal="center" vertical="center"/>
    </xf>
    <xf numFmtId="0" fontId="20" fillId="4" borderId="8" xfId="0" applyFont="1" applyFill="1" applyBorder="1" applyAlignment="1">
      <alignment horizontal="center" vertical="center"/>
    </xf>
    <xf numFmtId="0" fontId="19" fillId="4" borderId="8" xfId="0" applyFont="1" applyFill="1" applyBorder="1" applyAlignment="1">
      <alignment horizontal="center" vertical="center"/>
    </xf>
    <xf numFmtId="0" fontId="20" fillId="3" borderId="8" xfId="0" applyFont="1" applyFill="1" applyBorder="1" applyAlignment="1">
      <alignment horizontal="center" vertical="center"/>
    </xf>
    <xf numFmtId="0" fontId="19" fillId="0" borderId="10" xfId="0" applyFont="1" applyBorder="1" applyAlignment="1">
      <alignment horizontal="center" vertical="center"/>
    </xf>
    <xf numFmtId="0" fontId="20" fillId="0" borderId="10" xfId="0" applyFont="1" applyBorder="1" applyAlignment="1">
      <alignment horizontal="center" vertical="center"/>
    </xf>
    <xf numFmtId="164" fontId="19" fillId="0" borderId="4" xfId="1" applyFont="1" applyBorder="1" applyAlignment="1">
      <alignment horizontal="center" vertical="center"/>
    </xf>
    <xf numFmtId="43" fontId="20" fillId="0" borderId="4" xfId="0" applyNumberFormat="1" applyFont="1" applyBorder="1"/>
    <xf numFmtId="0" fontId="23" fillId="0" borderId="0" xfId="0" applyFont="1"/>
    <xf numFmtId="0" fontId="25" fillId="0" borderId="0" xfId="0" applyFont="1" applyAlignment="1">
      <alignment horizontal="center" vertical="center"/>
    </xf>
    <xf numFmtId="0" fontId="23" fillId="0" borderId="8" xfId="0" applyFont="1" applyBorder="1"/>
    <xf numFmtId="0" fontId="23" fillId="0" borderId="1" xfId="0" applyFont="1" applyBorder="1" applyAlignment="1">
      <alignment horizontal="center" vertical="center"/>
    </xf>
    <xf numFmtId="0" fontId="23" fillId="0" borderId="3" xfId="0" applyFont="1" applyBorder="1"/>
    <xf numFmtId="0" fontId="23" fillId="0" borderId="1" xfId="0" applyFont="1" applyBorder="1"/>
    <xf numFmtId="164" fontId="23" fillId="0" borderId="1" xfId="1" applyFont="1" applyBorder="1" applyAlignment="1">
      <alignment horizontal="center" vertical="center"/>
    </xf>
    <xf numFmtId="0" fontId="23" fillId="0" borderId="3" xfId="0" applyFont="1" applyBorder="1" applyAlignment="1">
      <alignment horizontal="center"/>
    </xf>
    <xf numFmtId="0" fontId="23" fillId="0" borderId="8" xfId="0" applyFont="1" applyBorder="1" applyAlignment="1">
      <alignment horizontal="center"/>
    </xf>
    <xf numFmtId="0" fontId="23" fillId="0" borderId="6" xfId="0" applyFont="1" applyBorder="1"/>
    <xf numFmtId="0" fontId="23" fillId="0" borderId="4" xfId="0" applyFont="1" applyBorder="1"/>
    <xf numFmtId="0" fontId="23" fillId="0" borderId="4" xfId="0" applyFont="1" applyBorder="1" applyAlignment="1">
      <alignment horizontal="center" vertical="center"/>
    </xf>
    <xf numFmtId="164" fontId="25" fillId="6" borderId="11" xfId="0" applyNumberFormat="1" applyFont="1" applyFill="1" applyBorder="1" applyAlignment="1">
      <alignment horizontal="center" vertical="center"/>
    </xf>
    <xf numFmtId="0" fontId="23" fillId="0" borderId="5" xfId="0" applyFont="1" applyBorder="1"/>
    <xf numFmtId="0" fontId="23" fillId="0" borderId="0" xfId="0" applyFont="1" applyAlignment="1">
      <alignment horizontal="center" vertical="center"/>
    </xf>
    <xf numFmtId="0" fontId="25" fillId="0" borderId="0" xfId="0" applyFont="1"/>
    <xf numFmtId="0" fontId="25" fillId="0" borderId="1" xfId="2" applyFont="1" applyBorder="1" applyAlignment="1">
      <alignment horizontal="left" vertical="center"/>
    </xf>
    <xf numFmtId="0" fontId="13" fillId="0" borderId="8" xfId="2" applyFont="1" applyBorder="1" applyAlignment="1">
      <alignment horizontal="center" vertical="center"/>
    </xf>
    <xf numFmtId="0" fontId="13" fillId="0" borderId="1" xfId="2" applyFont="1" applyBorder="1" applyAlignment="1">
      <alignment vertical="center"/>
    </xf>
    <xf numFmtId="0" fontId="13" fillId="0" borderId="1" xfId="2" applyFont="1" applyBorder="1" applyAlignment="1">
      <alignment horizontal="center" vertical="center"/>
    </xf>
    <xf numFmtId="165" fontId="13" fillId="0" borderId="1" xfId="2" applyNumberFormat="1" applyFont="1" applyBorder="1" applyAlignment="1">
      <alignment horizontal="center" vertical="center"/>
    </xf>
    <xf numFmtId="0" fontId="13" fillId="0" borderId="3" xfId="2" applyFont="1" applyBorder="1" applyAlignment="1">
      <alignment horizontal="center" vertical="center"/>
    </xf>
    <xf numFmtId="0" fontId="13" fillId="3" borderId="1" xfId="2" applyFont="1" applyFill="1" applyBorder="1" applyAlignment="1">
      <alignment horizontal="center" vertical="center"/>
    </xf>
    <xf numFmtId="165" fontId="14" fillId="0" borderId="1" xfId="2" applyNumberFormat="1" applyFont="1" applyBorder="1" applyAlignment="1">
      <alignment horizontal="center" vertical="center"/>
    </xf>
    <xf numFmtId="0" fontId="14" fillId="0" borderId="8" xfId="2" applyFont="1" applyBorder="1" applyAlignment="1">
      <alignment horizontal="center" vertical="center"/>
    </xf>
    <xf numFmtId="0" fontId="13" fillId="0" borderId="1" xfId="2" applyFont="1" applyBorder="1" applyAlignment="1">
      <alignment horizontal="center"/>
    </xf>
    <xf numFmtId="165" fontId="13" fillId="0" borderId="1" xfId="2" applyNumberFormat="1" applyFont="1" applyBorder="1"/>
    <xf numFmtId="0" fontId="13" fillId="3" borderId="8" xfId="2" applyFont="1" applyFill="1" applyBorder="1" applyAlignment="1">
      <alignment horizontal="center" vertical="center"/>
    </xf>
    <xf numFmtId="0" fontId="13" fillId="3" borderId="1" xfId="2" applyFont="1" applyFill="1" applyBorder="1" applyAlignment="1">
      <alignment vertical="center"/>
    </xf>
    <xf numFmtId="0" fontId="13" fillId="3" borderId="1" xfId="2" applyFont="1" applyFill="1" applyBorder="1" applyAlignment="1">
      <alignment horizontal="center"/>
    </xf>
    <xf numFmtId="165" fontId="13" fillId="3" borderId="1" xfId="2" applyNumberFormat="1" applyFont="1" applyFill="1" applyBorder="1" applyAlignment="1">
      <alignment horizontal="center" vertical="center"/>
    </xf>
    <xf numFmtId="0" fontId="23" fillId="0" borderId="12" xfId="2" applyFont="1" applyBorder="1"/>
    <xf numFmtId="0" fontId="25" fillId="0" borderId="8" xfId="0" applyFont="1" applyBorder="1" applyAlignment="1">
      <alignment horizontal="center"/>
    </xf>
    <xf numFmtId="0" fontId="25" fillId="0" borderId="1" xfId="0" applyFont="1" applyBorder="1"/>
    <xf numFmtId="166" fontId="23" fillId="0" borderId="1" xfId="0" applyNumberFormat="1" applyFont="1" applyBorder="1" applyAlignment="1">
      <alignment horizontal="center" vertical="center"/>
    </xf>
    <xf numFmtId="0" fontId="23" fillId="0" borderId="2" xfId="0" applyFont="1" applyBorder="1" applyAlignment="1">
      <alignment horizontal="center" vertical="center"/>
    </xf>
    <xf numFmtId="2" fontId="23" fillId="0" borderId="1" xfId="0" applyNumberFormat="1" applyFont="1" applyBorder="1" applyAlignment="1">
      <alignment horizontal="center" vertical="center"/>
    </xf>
    <xf numFmtId="0" fontId="23" fillId="3" borderId="1" xfId="0" applyFont="1" applyFill="1" applyBorder="1" applyAlignment="1">
      <alignment horizontal="center"/>
    </xf>
    <xf numFmtId="0" fontId="23" fillId="3" borderId="1" xfId="0" applyFont="1" applyFill="1" applyBorder="1" applyAlignment="1">
      <alignment horizontal="center" vertical="center"/>
    </xf>
    <xf numFmtId="0" fontId="23" fillId="3" borderId="3" xfId="0" applyFont="1" applyFill="1" applyBorder="1" applyAlignment="1">
      <alignment wrapText="1"/>
    </xf>
    <xf numFmtId="0" fontId="23" fillId="3" borderId="2" xfId="0" applyFont="1" applyFill="1" applyBorder="1" applyAlignment="1">
      <alignment horizontal="center"/>
    </xf>
    <xf numFmtId="0" fontId="23" fillId="3" borderId="2" xfId="0" applyFont="1" applyFill="1" applyBorder="1" applyAlignment="1">
      <alignment horizontal="center" vertical="center"/>
    </xf>
    <xf numFmtId="0" fontId="23" fillId="3" borderId="9" xfId="0" applyFont="1" applyFill="1" applyBorder="1" applyAlignment="1">
      <alignment wrapText="1"/>
    </xf>
    <xf numFmtId="0" fontId="25" fillId="0" borderId="14" xfId="0" applyFont="1" applyBorder="1"/>
    <xf numFmtId="0" fontId="25" fillId="0" borderId="15" xfId="0" applyFont="1" applyBorder="1"/>
    <xf numFmtId="0" fontId="25" fillId="0" borderId="16" xfId="0" applyFont="1" applyBorder="1"/>
    <xf numFmtId="0" fontId="25" fillId="0" borderId="17" xfId="0" applyFont="1" applyBorder="1"/>
    <xf numFmtId="0" fontId="25" fillId="0" borderId="18" xfId="0" applyFont="1" applyBorder="1"/>
    <xf numFmtId="0" fontId="25" fillId="0" borderId="17" xfId="0" applyFont="1" applyBorder="1" applyAlignment="1">
      <alignment vertical="center" wrapText="1"/>
    </xf>
    <xf numFmtId="0" fontId="23" fillId="0" borderId="17" xfId="0" applyFont="1" applyBorder="1" applyAlignment="1">
      <alignment horizontal="center"/>
    </xf>
    <xf numFmtId="0" fontId="23" fillId="0" borderId="17" xfId="0" applyFont="1" applyBorder="1" applyAlignment="1">
      <alignment horizontal="center" vertical="center"/>
    </xf>
    <xf numFmtId="0" fontId="23" fillId="0" borderId="18" xfId="0" applyFont="1" applyBorder="1" applyAlignment="1">
      <alignment wrapText="1"/>
    </xf>
    <xf numFmtId="0" fontId="23" fillId="0" borderId="2" xfId="0" applyFont="1" applyBorder="1" applyAlignment="1">
      <alignment vertical="center" wrapText="1"/>
    </xf>
    <xf numFmtId="0" fontId="23" fillId="0" borderId="2" xfId="0" applyFont="1" applyBorder="1" applyAlignment="1">
      <alignment horizontal="center"/>
    </xf>
    <xf numFmtId="0" fontId="23" fillId="0" borderId="9" xfId="0" applyFont="1" applyBorder="1" applyAlignment="1">
      <alignment wrapText="1"/>
    </xf>
    <xf numFmtId="0" fontId="23" fillId="0" borderId="10" xfId="0" applyFont="1" applyBorder="1" applyAlignment="1">
      <alignment horizontal="center"/>
    </xf>
    <xf numFmtId="0" fontId="23" fillId="0" borderId="1" xfId="0" applyFont="1" applyBorder="1" applyAlignment="1">
      <alignment vertical="center" wrapText="1"/>
    </xf>
    <xf numFmtId="0" fontId="23" fillId="0" borderId="1" xfId="0" applyFont="1" applyBorder="1" applyAlignment="1">
      <alignment horizontal="center"/>
    </xf>
    <xf numFmtId="0" fontId="23" fillId="0" borderId="3" xfId="0" applyFont="1" applyBorder="1" applyAlignment="1">
      <alignment horizontal="center" wrapText="1"/>
    </xf>
    <xf numFmtId="0" fontId="23" fillId="0" borderId="9" xfId="0" applyFont="1" applyBorder="1" applyAlignment="1">
      <alignment horizontal="center"/>
    </xf>
    <xf numFmtId="0" fontId="25" fillId="0" borderId="21" xfId="0" applyFont="1" applyBorder="1"/>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3" fillId="0" borderId="16" xfId="0" applyFont="1" applyBorder="1" applyAlignment="1">
      <alignment horizont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xf>
    <xf numFmtId="0" fontId="25" fillId="0" borderId="1" xfId="0" applyFont="1" applyBorder="1" applyAlignment="1">
      <alignment vertical="center" wrapText="1"/>
    </xf>
    <xf numFmtId="0" fontId="23" fillId="3" borderId="1" xfId="0" applyFont="1" applyFill="1" applyBorder="1" applyAlignment="1">
      <alignment vertical="center" wrapText="1"/>
    </xf>
    <xf numFmtId="0" fontId="23" fillId="3" borderId="3" xfId="0" applyFont="1" applyFill="1" applyBorder="1" applyAlignment="1">
      <alignment horizontal="center"/>
    </xf>
    <xf numFmtId="0" fontId="23" fillId="3" borderId="9" xfId="0" applyFont="1" applyFill="1" applyBorder="1" applyAlignment="1">
      <alignment horizontal="center"/>
    </xf>
    <xf numFmtId="0" fontId="23" fillId="0" borderId="3" xfId="0" applyFont="1" applyBorder="1" applyAlignment="1">
      <alignment vertical="center" wrapText="1"/>
    </xf>
    <xf numFmtId="0" fontId="23" fillId="0" borderId="9" xfId="0" applyFont="1" applyBorder="1" applyAlignment="1">
      <alignment vertical="center" wrapText="1"/>
    </xf>
    <xf numFmtId="0" fontId="23" fillId="0" borderId="0" xfId="0" applyFont="1" applyAlignment="1">
      <alignment horizontal="center"/>
    </xf>
    <xf numFmtId="0" fontId="25" fillId="0" borderId="1" xfId="0" applyFont="1" applyBorder="1" applyAlignment="1">
      <alignment horizontal="left" vertical="center"/>
    </xf>
    <xf numFmtId="166" fontId="23" fillId="0" borderId="1" xfId="0" applyNumberFormat="1" applyFont="1" applyBorder="1" applyAlignment="1">
      <alignment horizontal="center"/>
    </xf>
    <xf numFmtId="166" fontId="25" fillId="0" borderId="1" xfId="0" applyNumberFormat="1" applyFont="1" applyBorder="1" applyAlignment="1">
      <alignment horizontal="center"/>
    </xf>
    <xf numFmtId="0" fontId="25" fillId="6" borderId="1" xfId="0" applyFont="1" applyFill="1" applyBorder="1" applyAlignment="1">
      <alignment horizontal="center"/>
    </xf>
    <xf numFmtId="0" fontId="25" fillId="0" borderId="1" xfId="0" applyFont="1" applyBorder="1" applyAlignment="1">
      <alignment horizontal="center"/>
    </xf>
    <xf numFmtId="0" fontId="23" fillId="3" borderId="1" xfId="0" applyFont="1" applyFill="1" applyBorder="1"/>
    <xf numFmtId="0" fontId="23" fillId="0" borderId="1" xfId="0" applyFont="1" applyBorder="1" applyAlignment="1">
      <alignment horizontal="left" wrapText="1"/>
    </xf>
    <xf numFmtId="0" fontId="23" fillId="0" borderId="1" xfId="0" applyFont="1" applyBorder="1" applyAlignment="1">
      <alignment horizontal="left" vertical="center"/>
    </xf>
    <xf numFmtId="0" fontId="23" fillId="0" borderId="0" xfId="0" applyFont="1" applyAlignment="1">
      <alignment horizontal="left"/>
    </xf>
    <xf numFmtId="0" fontId="23" fillId="0" borderId="12" xfId="0" applyFont="1" applyBorder="1"/>
    <xf numFmtId="0" fontId="23" fillId="0" borderId="1" xfId="0" applyFont="1" applyBorder="1" applyAlignment="1">
      <alignment vertical="center"/>
    </xf>
    <xf numFmtId="0" fontId="23" fillId="6" borderId="1" xfId="0" applyFont="1" applyFill="1" applyBorder="1" applyAlignment="1">
      <alignment horizontal="center" vertical="center"/>
    </xf>
    <xf numFmtId="0" fontId="23" fillId="0" borderId="29" xfId="0" applyFont="1" applyBorder="1" applyAlignment="1">
      <alignment horizontal="center" vertical="center"/>
    </xf>
    <xf numFmtId="0" fontId="23" fillId="0" borderId="11" xfId="0" applyFont="1" applyBorder="1" applyAlignment="1">
      <alignment horizontal="center" vertical="center"/>
    </xf>
    <xf numFmtId="164" fontId="23" fillId="0" borderId="11" xfId="1" applyFont="1" applyBorder="1" applyAlignment="1">
      <alignment horizontal="center" vertical="center"/>
    </xf>
    <xf numFmtId="0" fontId="23" fillId="0" borderId="12" xfId="0" applyFont="1" applyBorder="1" applyAlignment="1">
      <alignment horizontal="center" vertical="center"/>
    </xf>
    <xf numFmtId="0" fontId="25" fillId="0" borderId="30" xfId="0" applyFont="1" applyBorder="1" applyAlignment="1">
      <alignment horizontal="center"/>
    </xf>
    <xf numFmtId="0" fontId="23" fillId="0" borderId="6" xfId="0" applyFont="1" applyBorder="1" applyAlignment="1">
      <alignment horizontal="center" vertical="center"/>
    </xf>
    <xf numFmtId="0" fontId="23" fillId="0" borderId="4" xfId="0" applyFont="1" applyBorder="1" applyAlignment="1">
      <alignment horizontal="center"/>
    </xf>
    <xf numFmtId="0" fontId="23" fillId="6" borderId="15" xfId="0" applyFont="1" applyFill="1" applyBorder="1" applyAlignment="1">
      <alignment horizontal="center"/>
    </xf>
    <xf numFmtId="0" fontId="23" fillId="0" borderId="5" xfId="0" applyFont="1" applyBorder="1" applyAlignment="1">
      <alignment horizontal="center"/>
    </xf>
    <xf numFmtId="0" fontId="25" fillId="3" borderId="1" xfId="0" applyFont="1" applyFill="1" applyBorder="1" applyAlignment="1">
      <alignment horizontal="left" vertical="center"/>
    </xf>
    <xf numFmtId="0" fontId="25" fillId="6" borderId="1" xfId="0" applyFont="1" applyFill="1" applyBorder="1" applyAlignment="1">
      <alignment horizontal="center" vertical="center"/>
    </xf>
    <xf numFmtId="0" fontId="23" fillId="0" borderId="7" xfId="0" applyFont="1" applyBorder="1"/>
    <xf numFmtId="0" fontId="25" fillId="0" borderId="1" xfId="0" applyFont="1" applyBorder="1" applyAlignment="1">
      <alignment horizontal="left" vertical="center" wrapText="1"/>
    </xf>
    <xf numFmtId="0" fontId="25" fillId="6"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3" fillId="3" borderId="8" xfId="0" applyFont="1" applyFill="1" applyBorder="1" applyAlignment="1">
      <alignment horizontal="center" vertical="center"/>
    </xf>
    <xf numFmtId="0" fontId="23" fillId="6" borderId="1" xfId="0" applyFont="1" applyFill="1" applyBorder="1" applyAlignment="1">
      <alignment horizontal="left" vertical="center" wrapText="1"/>
    </xf>
    <xf numFmtId="0" fontId="23" fillId="3" borderId="3"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25" fillId="6" borderId="1" xfId="0" applyFont="1" applyFill="1" applyBorder="1"/>
    <xf numFmtId="2" fontId="25" fillId="6" borderId="1" xfId="0" applyNumberFormat="1" applyFont="1" applyFill="1" applyBorder="1" applyAlignment="1">
      <alignment horizontal="center" vertical="center"/>
    </xf>
    <xf numFmtId="0" fontId="23" fillId="0" borderId="29" xfId="0" applyFont="1" applyBorder="1" applyAlignment="1">
      <alignment horizontal="center"/>
    </xf>
    <xf numFmtId="166" fontId="25" fillId="0" borderId="11" xfId="0" applyNumberFormat="1" applyFont="1" applyBorder="1" applyAlignment="1">
      <alignment horizontal="center" vertical="center"/>
    </xf>
    <xf numFmtId="166" fontId="23" fillId="6" borderId="1" xfId="0" applyNumberFormat="1" applyFont="1" applyFill="1" applyBorder="1" applyAlignment="1">
      <alignment horizontal="center" vertical="center"/>
    </xf>
    <xf numFmtId="0" fontId="23" fillId="0" borderId="11" xfId="0" applyFont="1" applyBorder="1"/>
    <xf numFmtId="0" fontId="23" fillId="0" borderId="11" xfId="0" applyFont="1" applyBorder="1" applyAlignment="1">
      <alignment horizontal="center"/>
    </xf>
    <xf numFmtId="166" fontId="23" fillId="6" borderId="11" xfId="0" applyNumberFormat="1" applyFont="1" applyFill="1" applyBorder="1" applyAlignment="1">
      <alignment horizontal="center"/>
    </xf>
    <xf numFmtId="0" fontId="23" fillId="0" borderId="3" xfId="0" applyFont="1" applyBorder="1" applyAlignment="1">
      <alignment wrapText="1"/>
    </xf>
    <xf numFmtId="167" fontId="23" fillId="0" borderId="1" xfId="1" applyNumberFormat="1" applyFont="1" applyBorder="1" applyAlignment="1">
      <alignment horizontal="center"/>
    </xf>
    <xf numFmtId="0" fontId="23" fillId="0" borderId="3" xfId="0" applyFont="1" applyBorder="1" applyAlignment="1">
      <alignment horizontal="center" vertical="center" wrapText="1"/>
    </xf>
    <xf numFmtId="0" fontId="23" fillId="0" borderId="8" xfId="0" applyFont="1" applyBorder="1" applyAlignment="1">
      <alignment horizontal="center" vertical="top"/>
    </xf>
    <xf numFmtId="0" fontId="23" fillId="3" borderId="1" xfId="0" applyFont="1" applyFill="1" applyBorder="1" applyAlignment="1">
      <alignment vertical="top" wrapText="1"/>
    </xf>
    <xf numFmtId="0" fontId="23" fillId="0" borderId="1" xfId="0" applyFont="1" applyBorder="1" applyAlignment="1">
      <alignment horizontal="center" vertical="top"/>
    </xf>
    <xf numFmtId="0" fontId="23" fillId="0" borderId="3" xfId="0" applyFont="1" applyBorder="1" applyAlignment="1">
      <alignment vertical="top"/>
    </xf>
    <xf numFmtId="0" fontId="23" fillId="0" borderId="0" xfId="0" applyFont="1" applyAlignment="1">
      <alignment vertical="top"/>
    </xf>
    <xf numFmtId="0" fontId="23" fillId="0" borderId="11" xfId="0" applyFont="1" applyBorder="1" applyAlignment="1">
      <alignment wrapText="1"/>
    </xf>
    <xf numFmtId="166" fontId="23" fillId="0" borderId="11" xfId="0" applyNumberFormat="1" applyFont="1" applyBorder="1" applyAlignment="1">
      <alignment horizontal="center" vertical="center"/>
    </xf>
    <xf numFmtId="166" fontId="23" fillId="6" borderId="11" xfId="0" applyNumberFormat="1" applyFont="1" applyFill="1" applyBorder="1" applyAlignment="1">
      <alignment horizontal="center" vertical="center"/>
    </xf>
    <xf numFmtId="0" fontId="23" fillId="0" borderId="3" xfId="0" applyFont="1" applyBorder="1" applyAlignment="1">
      <alignment horizontal="center" vertical="center"/>
    </xf>
    <xf numFmtId="0" fontId="23" fillId="0" borderId="26" xfId="0" applyFont="1" applyBorder="1"/>
    <xf numFmtId="0" fontId="25" fillId="6" borderId="11" xfId="0" applyFont="1" applyFill="1" applyBorder="1" applyAlignment="1">
      <alignment horizontal="center"/>
    </xf>
    <xf numFmtId="2" fontId="25" fillId="6" borderId="11" xfId="0" applyNumberFormat="1" applyFont="1" applyFill="1" applyBorder="1" applyAlignment="1">
      <alignment horizontal="center" vertical="center"/>
    </xf>
    <xf numFmtId="0" fontId="10" fillId="3" borderId="1" xfId="0" applyFont="1" applyFill="1" applyBorder="1" applyAlignment="1">
      <alignment vertical="center" wrapText="1"/>
    </xf>
    <xf numFmtId="0" fontId="13" fillId="0" borderId="1" xfId="0" applyFont="1" applyBorder="1" applyAlignment="1">
      <alignment vertical="top" wrapText="1"/>
    </xf>
    <xf numFmtId="0" fontId="23" fillId="3" borderId="1" xfId="0" applyFont="1" applyFill="1" applyBorder="1" applyAlignment="1">
      <alignment wrapText="1"/>
    </xf>
    <xf numFmtId="0" fontId="23" fillId="6" borderId="1" xfId="0" applyFont="1" applyFill="1" applyBorder="1" applyAlignment="1">
      <alignment horizontal="center"/>
    </xf>
    <xf numFmtId="0" fontId="23" fillId="0" borderId="0" xfId="0" applyFont="1" applyAlignment="1">
      <alignment wrapText="1"/>
    </xf>
    <xf numFmtId="0" fontId="23" fillId="3" borderId="2" xfId="0" applyFont="1" applyFill="1" applyBorder="1" applyAlignment="1">
      <alignment vertical="center" wrapText="1"/>
    </xf>
    <xf numFmtId="0" fontId="23" fillId="0" borderId="2" xfId="0" applyFont="1" applyBorder="1"/>
    <xf numFmtId="166" fontId="25" fillId="6" borderId="1" xfId="0" applyNumberFormat="1" applyFont="1" applyFill="1" applyBorder="1" applyAlignment="1">
      <alignment horizontal="center" vertical="center"/>
    </xf>
    <xf numFmtId="166" fontId="25" fillId="6" borderId="11" xfId="0" applyNumberFormat="1" applyFont="1" applyFill="1" applyBorder="1" applyAlignment="1">
      <alignment horizontal="center" vertical="center"/>
    </xf>
    <xf numFmtId="0" fontId="25" fillId="0" borderId="0" xfId="0" applyFont="1" applyAlignment="1">
      <alignment horizontal="center" vertical="center" wrapText="1"/>
    </xf>
    <xf numFmtId="0" fontId="23" fillId="0" borderId="0" xfId="0" applyFont="1" applyAlignment="1">
      <alignment vertical="center" wrapText="1"/>
    </xf>
    <xf numFmtId="2" fontId="25" fillId="0" borderId="0" xfId="0" applyNumberFormat="1" applyFont="1" applyAlignment="1">
      <alignment horizontal="center" vertical="center"/>
    </xf>
    <xf numFmtId="167" fontId="23" fillId="0" borderId="1" xfId="1" applyNumberFormat="1" applyFont="1" applyBorder="1" applyAlignment="1">
      <alignment horizontal="center" vertical="center"/>
    </xf>
    <xf numFmtId="43" fontId="23" fillId="0" borderId="0" xfId="0" applyNumberFormat="1" applyFont="1" applyAlignment="1">
      <alignment horizontal="center"/>
    </xf>
    <xf numFmtId="167" fontId="25" fillId="6" borderId="11" xfId="1" applyNumberFormat="1" applyFont="1" applyFill="1" applyBorder="1" applyAlignment="1">
      <alignment horizontal="center" vertical="center"/>
    </xf>
    <xf numFmtId="2" fontId="23" fillId="0" borderId="1" xfId="0" applyNumberFormat="1" applyFont="1" applyBorder="1" applyAlignment="1">
      <alignment horizontal="center"/>
    </xf>
    <xf numFmtId="0" fontId="25" fillId="0" borderId="6" xfId="0" applyFont="1" applyBorder="1" applyAlignment="1">
      <alignment horizontal="center" vertical="center"/>
    </xf>
    <xf numFmtId="0" fontId="25" fillId="0" borderId="4" xfId="0" applyFont="1" applyBorder="1" applyAlignment="1">
      <alignment horizontal="center"/>
    </xf>
    <xf numFmtId="0" fontId="25" fillId="0" borderId="11" xfId="0" applyFont="1" applyBorder="1" applyAlignment="1">
      <alignment horizontal="center"/>
    </xf>
    <xf numFmtId="2" fontId="25" fillId="0" borderId="11" xfId="0" applyNumberFormat="1" applyFont="1" applyBorder="1" applyAlignment="1">
      <alignment horizontal="center"/>
    </xf>
    <xf numFmtId="0" fontId="25" fillId="0" borderId="5" xfId="0" applyFont="1" applyBorder="1" applyAlignment="1">
      <alignment horizontal="center"/>
    </xf>
    <xf numFmtId="0" fontId="25" fillId="0" borderId="0" xfId="0" applyFont="1" applyAlignment="1">
      <alignment horizontal="center"/>
    </xf>
    <xf numFmtId="0" fontId="25" fillId="6" borderId="11" xfId="0" applyFont="1" applyFill="1" applyBorder="1" applyAlignment="1">
      <alignment horizontal="center" vertical="center"/>
    </xf>
    <xf numFmtId="0" fontId="25" fillId="3" borderId="1" xfId="0" applyFont="1" applyFill="1" applyBorder="1"/>
    <xf numFmtId="164" fontId="23" fillId="0" borderId="1" xfId="1" applyFont="1" applyBorder="1" applyAlignment="1">
      <alignment horizontal="center"/>
    </xf>
    <xf numFmtId="164" fontId="23" fillId="0" borderId="11" xfId="1" applyFont="1" applyFill="1" applyBorder="1" applyAlignment="1">
      <alignment horizontal="center" vertical="center"/>
    </xf>
    <xf numFmtId="0" fontId="25" fillId="7" borderId="1" xfId="0" applyFont="1" applyFill="1" applyBorder="1" applyAlignment="1">
      <alignment horizontal="left" vertical="center"/>
    </xf>
    <xf numFmtId="0" fontId="25" fillId="8" borderId="1" xfId="0" applyFont="1" applyFill="1" applyBorder="1" applyAlignment="1">
      <alignment horizontal="center" vertical="center"/>
    </xf>
    <xf numFmtId="0" fontId="25" fillId="8" borderId="1" xfId="0" applyFont="1" applyFill="1" applyBorder="1" applyAlignment="1">
      <alignment vertical="center"/>
    </xf>
    <xf numFmtId="0" fontId="25" fillId="8" borderId="1" xfId="0" applyFont="1" applyFill="1" applyBorder="1" applyAlignment="1">
      <alignment vertical="center" wrapText="1"/>
    </xf>
    <xf numFmtId="0" fontId="25" fillId="8" borderId="1" xfId="0" applyFont="1" applyFill="1" applyBorder="1" applyAlignment="1">
      <alignment horizontal="center" vertical="center" wrapText="1"/>
    </xf>
    <xf numFmtId="0" fontId="26" fillId="9" borderId="1" xfId="0" applyFont="1" applyFill="1" applyBorder="1" applyAlignment="1">
      <alignment horizontal="center" vertical="center"/>
    </xf>
    <xf numFmtId="0" fontId="26" fillId="9" borderId="1" xfId="0" applyFont="1" applyFill="1" applyBorder="1" applyAlignment="1">
      <alignment horizontal="left" vertical="center"/>
    </xf>
    <xf numFmtId="166" fontId="23" fillId="3" borderId="1" xfId="0" applyNumberFormat="1" applyFont="1" applyFill="1" applyBorder="1" applyAlignment="1">
      <alignment horizontal="center" vertical="center"/>
    </xf>
    <xf numFmtId="0" fontId="23" fillId="0" borderId="33" xfId="0" applyFont="1" applyBorder="1" applyAlignment="1">
      <alignment horizontal="center"/>
    </xf>
    <xf numFmtId="166" fontId="25" fillId="0" borderId="0" xfId="0" applyNumberFormat="1" applyFont="1" applyAlignment="1">
      <alignment horizontal="center"/>
    </xf>
    <xf numFmtId="0" fontId="25" fillId="3" borderId="0" xfId="0" applyFont="1" applyFill="1" applyAlignment="1">
      <alignment horizontal="center" vertical="center"/>
    </xf>
    <xf numFmtId="0" fontId="27" fillId="9" borderId="1" xfId="0" applyFont="1" applyFill="1" applyBorder="1" applyAlignment="1">
      <alignment horizontal="center" vertical="center"/>
    </xf>
    <xf numFmtId="0" fontId="27" fillId="3" borderId="0" xfId="0" applyFont="1" applyFill="1" applyAlignment="1">
      <alignment horizontal="center" vertical="center"/>
    </xf>
    <xf numFmtId="0" fontId="23" fillId="7" borderId="1" xfId="0" applyFont="1" applyFill="1" applyBorder="1" applyAlignment="1">
      <alignment horizontal="left" vertical="center"/>
    </xf>
    <xf numFmtId="166" fontId="13" fillId="0" borderId="1" xfId="0" applyNumberFormat="1" applyFont="1" applyBorder="1" applyAlignment="1">
      <alignment horizontal="center" vertical="center"/>
    </xf>
    <xf numFmtId="1" fontId="23" fillId="0" borderId="1" xfId="0" applyNumberFormat="1" applyFont="1" applyBorder="1" applyAlignment="1">
      <alignment horizontal="center"/>
    </xf>
    <xf numFmtId="0" fontId="23" fillId="3" borderId="0" xfId="0" applyFont="1" applyFill="1" applyAlignment="1">
      <alignment horizontal="center" vertical="center"/>
    </xf>
    <xf numFmtId="0" fontId="23" fillId="0" borderId="1" xfId="0" applyFont="1" applyBorder="1" applyAlignment="1">
      <alignment horizontal="center" wrapText="1"/>
    </xf>
    <xf numFmtId="0" fontId="23" fillId="3" borderId="0" xfId="0" applyFont="1" applyFill="1" applyAlignment="1">
      <alignment horizontal="center"/>
    </xf>
    <xf numFmtId="0" fontId="23" fillId="0" borderId="32" xfId="0" applyFont="1" applyBorder="1" applyAlignment="1">
      <alignment horizontal="left"/>
    </xf>
    <xf numFmtId="0" fontId="23" fillId="0" borderId="32" xfId="0" applyFont="1" applyBorder="1" applyAlignment="1">
      <alignment horizontal="center"/>
    </xf>
    <xf numFmtId="0" fontId="28" fillId="0" borderId="1" xfId="0" applyFont="1" applyBorder="1" applyAlignment="1">
      <alignment wrapText="1"/>
    </xf>
    <xf numFmtId="0" fontId="23" fillId="0" borderId="4" xfId="0" applyFont="1" applyBorder="1" applyAlignment="1">
      <alignment wrapText="1"/>
    </xf>
    <xf numFmtId="0" fontId="25" fillId="0" borderId="0" xfId="0" applyFont="1" applyAlignment="1">
      <alignment wrapText="1"/>
    </xf>
    <xf numFmtId="168" fontId="25" fillId="6" borderId="35" xfId="1" applyNumberFormat="1" applyFont="1" applyFill="1" applyBorder="1" applyAlignment="1">
      <alignment horizontal="center" vertical="center"/>
    </xf>
    <xf numFmtId="0" fontId="23" fillId="0" borderId="36" xfId="0" applyFont="1" applyBorder="1" applyAlignment="1">
      <alignment horizontal="center" vertical="center"/>
    </xf>
    <xf numFmtId="167" fontId="23" fillId="0" borderId="11" xfId="1" applyNumberFormat="1" applyFont="1" applyBorder="1" applyAlignment="1">
      <alignment horizontal="center"/>
    </xf>
    <xf numFmtId="0" fontId="23" fillId="0" borderId="12" xfId="0" applyFont="1" applyBorder="1" applyAlignment="1">
      <alignment horizontal="center"/>
    </xf>
    <xf numFmtId="0" fontId="23" fillId="0" borderId="8" xfId="0" applyFont="1" applyBorder="1" applyAlignment="1">
      <alignment horizontal="center" vertical="center" wrapText="1"/>
    </xf>
    <xf numFmtId="0" fontId="23" fillId="0" borderId="1" xfId="0" applyFont="1" applyBorder="1" applyAlignment="1">
      <alignment horizontal="center" vertical="center" wrapText="1"/>
    </xf>
    <xf numFmtId="167" fontId="23" fillId="0" borderId="1" xfId="1" applyNumberFormat="1" applyFont="1" applyFill="1" applyBorder="1" applyAlignment="1">
      <alignment horizontal="center" wrapText="1"/>
    </xf>
    <xf numFmtId="167" fontId="23" fillId="6" borderId="1" xfId="1" applyNumberFormat="1" applyFont="1" applyFill="1" applyBorder="1" applyAlignment="1">
      <alignment horizontal="center" wrapText="1"/>
    </xf>
    <xf numFmtId="167" fontId="23" fillId="0" borderId="1" xfId="1" applyNumberFormat="1" applyFont="1" applyBorder="1" applyAlignment="1">
      <alignment horizontal="center" wrapText="1"/>
    </xf>
    <xf numFmtId="167" fontId="23" fillId="6" borderId="1" xfId="1" applyNumberFormat="1" applyFont="1" applyFill="1" applyBorder="1" applyAlignment="1">
      <alignment horizontal="center" vertical="center" wrapText="1"/>
    </xf>
    <xf numFmtId="0" fontId="23" fillId="0" borderId="8" xfId="0" applyFont="1" applyBorder="1" applyAlignment="1">
      <alignment horizontal="center" vertical="top" wrapText="1"/>
    </xf>
    <xf numFmtId="0" fontId="23" fillId="0" borderId="1" xfId="0" applyFont="1" applyBorder="1" applyAlignment="1">
      <alignment horizontal="center" vertical="top" wrapText="1"/>
    </xf>
    <xf numFmtId="167" fontId="23" fillId="6" borderId="1" xfId="1" applyNumberFormat="1" applyFont="1" applyFill="1" applyBorder="1" applyAlignment="1">
      <alignment horizontal="center" vertical="top" wrapText="1"/>
    </xf>
    <xf numFmtId="0" fontId="23" fillId="0" borderId="3" xfId="0" applyFont="1" applyBorder="1" applyAlignment="1">
      <alignment vertical="top" wrapText="1"/>
    </xf>
    <xf numFmtId="0" fontId="23" fillId="0" borderId="0" xfId="0" applyFont="1" applyAlignment="1">
      <alignment vertical="top" wrapText="1"/>
    </xf>
    <xf numFmtId="0" fontId="23" fillId="0" borderId="0" xfId="0" applyFont="1" applyAlignment="1">
      <alignment horizontal="center" vertical="center" wrapText="1"/>
    </xf>
    <xf numFmtId="0" fontId="23" fillId="0" borderId="0" xfId="0" applyFont="1" applyAlignment="1">
      <alignment horizontal="center" wrapText="1"/>
    </xf>
    <xf numFmtId="167" fontId="23" fillId="0" borderId="0" xfId="1" applyNumberFormat="1" applyFont="1" applyAlignment="1">
      <alignment wrapText="1"/>
    </xf>
    <xf numFmtId="0" fontId="23" fillId="3" borderId="32" xfId="0" applyFont="1" applyFill="1" applyBorder="1" applyAlignment="1">
      <alignment horizontal="left" vertical="center" wrapText="1"/>
    </xf>
    <xf numFmtId="0" fontId="25" fillId="0" borderId="0" xfId="0" applyFont="1" applyAlignment="1">
      <alignment horizontal="center" vertical="top"/>
    </xf>
    <xf numFmtId="166" fontId="23" fillId="0" borderId="1" xfId="0" applyNumberFormat="1" applyFont="1" applyBorder="1" applyAlignment="1">
      <alignment horizontal="center" vertical="top"/>
    </xf>
    <xf numFmtId="0" fontId="25" fillId="0" borderId="11" xfId="0" applyFont="1" applyBorder="1" applyAlignment="1">
      <alignment horizontal="center" vertical="top"/>
    </xf>
    <xf numFmtId="0" fontId="23" fillId="0" borderId="12" xfId="0" applyFont="1" applyBorder="1" applyAlignment="1">
      <alignment vertical="top"/>
    </xf>
    <xf numFmtId="0" fontId="23" fillId="0" borderId="0" xfId="0" applyFont="1" applyAlignment="1">
      <alignment horizontal="center" vertical="top"/>
    </xf>
    <xf numFmtId="0" fontId="25" fillId="0" borderId="1" xfId="0" applyFont="1" applyBorder="1" applyAlignment="1">
      <alignment horizontal="left" wrapText="1"/>
    </xf>
    <xf numFmtId="0" fontId="23" fillId="0" borderId="0" xfId="0" applyFont="1" applyAlignment="1">
      <alignment horizontal="left" wrapText="1"/>
    </xf>
    <xf numFmtId="0" fontId="23" fillId="10" borderId="3" xfId="0" applyFont="1" applyFill="1" applyBorder="1" applyAlignment="1">
      <alignment wrapText="1"/>
    </xf>
    <xf numFmtId="0" fontId="23" fillId="0" borderId="29" xfId="0" applyFont="1" applyBorder="1"/>
    <xf numFmtId="0" fontId="23" fillId="0" borderId="11" xfId="0" applyFont="1" applyBorder="1" applyAlignment="1">
      <alignment horizontal="left" wrapText="1"/>
    </xf>
    <xf numFmtId="166" fontId="25" fillId="0" borderId="11" xfId="0" applyNumberFormat="1" applyFont="1" applyBorder="1"/>
    <xf numFmtId="0" fontId="23" fillId="0" borderId="12" xfId="0" applyFont="1" applyBorder="1" applyAlignment="1">
      <alignment wrapText="1"/>
    </xf>
    <xf numFmtId="0" fontId="23" fillId="0" borderId="10" xfId="0" applyFont="1" applyBorder="1" applyAlignment="1">
      <alignment horizontal="center" vertical="center"/>
    </xf>
    <xf numFmtId="0" fontId="23" fillId="0" borderId="9" xfId="0" applyFont="1" applyBorder="1"/>
    <xf numFmtId="0" fontId="23" fillId="0" borderId="11" xfId="0" applyFont="1" applyBorder="1" applyAlignment="1">
      <alignment vertical="center"/>
    </xf>
    <xf numFmtId="0" fontId="23" fillId="3" borderId="34" xfId="0" applyFont="1" applyFill="1" applyBorder="1" applyAlignment="1">
      <alignment horizontal="center"/>
    </xf>
    <xf numFmtId="0" fontId="27" fillId="3" borderId="34" xfId="0" applyFont="1" applyFill="1" applyBorder="1" applyAlignment="1">
      <alignment horizontal="center" vertical="center"/>
    </xf>
    <xf numFmtId="0" fontId="23" fillId="3" borderId="34" xfId="0" applyFont="1" applyFill="1" applyBorder="1" applyAlignment="1">
      <alignment horizontal="center" vertical="center"/>
    </xf>
    <xf numFmtId="0" fontId="25" fillId="8" borderId="36" xfId="0" applyFont="1" applyFill="1" applyBorder="1" applyAlignment="1">
      <alignment horizontal="center" vertical="center"/>
    </xf>
    <xf numFmtId="0" fontId="25" fillId="8" borderId="37" xfId="0" applyFont="1" applyFill="1" applyBorder="1" applyAlignment="1">
      <alignment vertical="center"/>
    </xf>
    <xf numFmtId="0" fontId="25" fillId="8" borderId="37" xfId="0" applyFont="1" applyFill="1" applyBorder="1" applyAlignment="1">
      <alignment horizontal="center" vertical="center"/>
    </xf>
    <xf numFmtId="0" fontId="25" fillId="8" borderId="37" xfId="0" applyFont="1" applyFill="1" applyBorder="1" applyAlignment="1">
      <alignment vertical="center" wrapText="1"/>
    </xf>
    <xf numFmtId="0" fontId="25" fillId="8" borderId="37" xfId="0" applyFont="1" applyFill="1" applyBorder="1" applyAlignment="1">
      <alignment horizontal="center" vertical="center" wrapText="1"/>
    </xf>
    <xf numFmtId="0" fontId="25" fillId="8" borderId="38" xfId="0" applyFont="1" applyFill="1" applyBorder="1" applyAlignment="1">
      <alignment horizontal="center" vertical="center"/>
    </xf>
    <xf numFmtId="0" fontId="23" fillId="0" borderId="11" xfId="0" applyFont="1" applyBorder="1" applyAlignment="1">
      <alignment horizontal="left"/>
    </xf>
    <xf numFmtId="165" fontId="25" fillId="6" borderId="11" xfId="2" applyNumberFormat="1" applyFont="1" applyFill="1" applyBorder="1"/>
    <xf numFmtId="0" fontId="1" fillId="3" borderId="3" xfId="0" applyFont="1" applyFill="1" applyBorder="1" applyAlignment="1">
      <alignment horizontal="center" vertical="center" wrapText="1"/>
    </xf>
    <xf numFmtId="0" fontId="23" fillId="0" borderId="19" xfId="0" applyFont="1" applyBorder="1" applyAlignment="1">
      <alignment horizontal="center" vertical="top" wrapText="1"/>
    </xf>
    <xf numFmtId="0" fontId="23" fillId="0" borderId="2" xfId="0" applyFont="1" applyBorder="1" applyAlignment="1">
      <alignment horizontal="center" vertical="top" wrapText="1"/>
    </xf>
    <xf numFmtId="167" fontId="23" fillId="6" borderId="2" xfId="1" applyNumberFormat="1" applyFont="1" applyFill="1" applyBorder="1" applyAlignment="1">
      <alignment horizontal="center" vertical="top" wrapText="1"/>
    </xf>
    <xf numFmtId="0" fontId="23" fillId="0" borderId="7" xfId="0" applyFont="1" applyBorder="1" applyAlignment="1">
      <alignment vertical="top" wrapText="1"/>
    </xf>
    <xf numFmtId="167" fontId="23" fillId="0" borderId="1" xfId="1" applyNumberFormat="1" applyFont="1" applyBorder="1" applyAlignment="1">
      <alignment wrapText="1"/>
    </xf>
    <xf numFmtId="167" fontId="23" fillId="6" borderId="1" xfId="1" applyNumberFormat="1" applyFont="1" applyFill="1" applyBorder="1" applyAlignment="1">
      <alignment wrapText="1"/>
    </xf>
    <xf numFmtId="0" fontId="3" fillId="3" borderId="3" xfId="0" applyFont="1" applyFill="1" applyBorder="1" applyAlignment="1">
      <alignment vertical="center" wrapText="1"/>
    </xf>
    <xf numFmtId="2" fontId="19" fillId="0" borderId="2" xfId="0" applyNumberFormat="1" applyFont="1" applyBorder="1" applyAlignment="1">
      <alignment horizontal="center" vertical="center"/>
    </xf>
    <xf numFmtId="164" fontId="19" fillId="0" borderId="13" xfId="1" applyFont="1" applyBorder="1" applyAlignment="1">
      <alignment horizontal="center" vertical="center"/>
    </xf>
    <xf numFmtId="0" fontId="20" fillId="0" borderId="14" xfId="0" applyFont="1" applyBorder="1" applyAlignment="1">
      <alignment horizontal="right"/>
    </xf>
    <xf numFmtId="164" fontId="20" fillId="0" borderId="15" xfId="0" applyNumberFormat="1" applyFont="1" applyBorder="1"/>
    <xf numFmtId="0" fontId="4" fillId="0" borderId="1" xfId="0" applyFont="1" applyBorder="1" applyAlignment="1">
      <alignment vertical="center" wrapText="1"/>
    </xf>
    <xf numFmtId="166" fontId="19" fillId="0" borderId="2" xfId="0" applyNumberFormat="1" applyFont="1" applyBorder="1" applyAlignment="1">
      <alignment vertical="center"/>
    </xf>
    <xf numFmtId="0" fontId="2" fillId="0" borderId="1" xfId="0" applyFont="1" applyBorder="1" applyAlignment="1">
      <alignment vertical="top" wrapText="1"/>
    </xf>
    <xf numFmtId="0" fontId="24" fillId="0" borderId="1" xfId="0" applyFont="1" applyBorder="1" applyAlignment="1">
      <alignment vertical="top" wrapText="1"/>
    </xf>
    <xf numFmtId="0" fontId="19" fillId="3" borderId="3" xfId="0" applyFont="1" applyFill="1" applyBorder="1" applyAlignment="1">
      <alignment horizontal="center" vertical="center" wrapText="1"/>
    </xf>
    <xf numFmtId="0" fontId="25" fillId="0" borderId="13" xfId="0" applyFont="1" applyBorder="1" applyAlignment="1">
      <alignment horizontal="center"/>
    </xf>
    <xf numFmtId="0" fontId="25" fillId="0" borderId="15" xfId="0" applyFont="1" applyBorder="1" applyAlignment="1">
      <alignment horizontal="center"/>
    </xf>
    <xf numFmtId="0" fontId="25" fillId="0" borderId="1" xfId="0" applyFont="1" applyBorder="1" applyAlignment="1">
      <alignment horizontal="center" vertical="center" wrapText="1"/>
    </xf>
    <xf numFmtId="0" fontId="25" fillId="0" borderId="3" xfId="0" applyFont="1" applyBorder="1" applyAlignment="1">
      <alignment horizontal="center" vertical="center"/>
    </xf>
    <xf numFmtId="0" fontId="25" fillId="0" borderId="8" xfId="0" applyFont="1" applyBorder="1" applyAlignment="1">
      <alignment horizontal="center" vertical="center" wrapText="1"/>
    </xf>
    <xf numFmtId="0" fontId="25" fillId="0" borderId="17" xfId="0" applyFont="1" applyBorder="1" applyAlignment="1">
      <alignment horizontal="center" vertical="center"/>
    </xf>
    <xf numFmtId="0" fontId="25" fillId="0" borderId="1"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3" fillId="0" borderId="1" xfId="0" applyFont="1" applyBorder="1" applyAlignment="1">
      <alignment horizontal="left" vertical="center" wrapText="1"/>
    </xf>
    <xf numFmtId="0" fontId="25" fillId="0" borderId="20" xfId="0" applyFont="1" applyBorder="1" applyAlignment="1">
      <alignment horizontal="center"/>
    </xf>
    <xf numFmtId="0" fontId="25" fillId="0" borderId="3" xfId="0" applyFont="1" applyBorder="1" applyAlignment="1">
      <alignment horizontal="center" vertical="center" wrapText="1"/>
    </xf>
    <xf numFmtId="0" fontId="23" fillId="0" borderId="1" xfId="0" applyFont="1" applyBorder="1" applyAlignment="1">
      <alignment horizontal="left"/>
    </xf>
    <xf numFmtId="0" fontId="23" fillId="0" borderId="19" xfId="0" applyFont="1" applyBorder="1" applyAlignment="1">
      <alignment horizontal="center" vertical="center"/>
    </xf>
    <xf numFmtId="0" fontId="23" fillId="0" borderId="16" xfId="0" applyFont="1" applyBorder="1" applyAlignment="1">
      <alignment horizontal="center" vertical="center"/>
    </xf>
    <xf numFmtId="0" fontId="25" fillId="0" borderId="1" xfId="0" applyFont="1" applyBorder="1" applyAlignment="1">
      <alignment horizontal="center" vertical="top"/>
    </xf>
    <xf numFmtId="0" fontId="23" fillId="0" borderId="34"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5" fillId="0" borderId="21" xfId="0" applyFont="1" applyBorder="1" applyAlignment="1">
      <alignment horizontal="center" vertical="center"/>
    </xf>
    <xf numFmtId="0" fontId="23" fillId="0" borderId="8" xfId="0" applyFont="1" applyBorder="1" applyAlignment="1">
      <alignment horizontal="center" vertical="center"/>
    </xf>
    <xf numFmtId="0" fontId="23" fillId="3" borderId="1" xfId="0" applyFont="1" applyFill="1" applyBorder="1" applyAlignment="1">
      <alignment horizontal="left" vertical="center"/>
    </xf>
    <xf numFmtId="0" fontId="25" fillId="0" borderId="8" xfId="2" applyFont="1" applyBorder="1" applyAlignment="1">
      <alignment horizontal="center" vertical="center" wrapText="1"/>
    </xf>
    <xf numFmtId="0" fontId="25" fillId="0" borderId="1" xfId="2" applyFont="1" applyBorder="1" applyAlignment="1">
      <alignment horizontal="center" vertical="center"/>
    </xf>
    <xf numFmtId="0" fontId="25" fillId="0" borderId="1" xfId="2" applyFont="1" applyBorder="1" applyAlignment="1">
      <alignment horizontal="center" vertical="center" wrapText="1"/>
    </xf>
    <xf numFmtId="0" fontId="25" fillId="0" borderId="3" xfId="2" applyFont="1" applyBorder="1" applyAlignment="1">
      <alignment horizontal="center" vertical="center"/>
    </xf>
    <xf numFmtId="0" fontId="25" fillId="7" borderId="1" xfId="0" applyFont="1" applyFill="1" applyBorder="1" applyAlignment="1">
      <alignment horizontal="center" vertical="center"/>
    </xf>
    <xf numFmtId="0" fontId="25" fillId="0" borderId="4" xfId="0" applyFont="1" applyBorder="1" applyAlignment="1">
      <alignment horizontal="center" vertical="center"/>
    </xf>
    <xf numFmtId="0" fontId="20" fillId="5" borderId="1"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19" fillId="0" borderId="0" xfId="0" applyFont="1" applyAlignment="1">
      <alignment wrapText="1"/>
    </xf>
    <xf numFmtId="0" fontId="19" fillId="0" borderId="4" xfId="0" applyFont="1" applyBorder="1" applyAlignment="1">
      <alignment wrapText="1"/>
    </xf>
    <xf numFmtId="0" fontId="20" fillId="2" borderId="3"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19" fillId="0" borderId="3" xfId="0" applyFont="1" applyBorder="1" applyAlignment="1">
      <alignment vertical="center" wrapText="1"/>
    </xf>
    <xf numFmtId="0" fontId="19" fillId="4" borderId="3" xfId="0" applyFont="1" applyFill="1" applyBorder="1" applyAlignment="1">
      <alignment vertical="center" wrapText="1"/>
    </xf>
    <xf numFmtId="0" fontId="19" fillId="0" borderId="3" xfId="0" applyFont="1" applyBorder="1" applyAlignment="1">
      <alignment horizontal="center" vertical="center" wrapText="1"/>
    </xf>
    <xf numFmtId="0" fontId="19" fillId="0" borderId="3" xfId="0" applyFont="1" applyBorder="1" applyAlignment="1">
      <alignment wrapText="1"/>
    </xf>
    <xf numFmtId="0" fontId="19" fillId="3" borderId="3" xfId="0" applyFont="1" applyFill="1" applyBorder="1" applyAlignment="1">
      <alignment wrapText="1"/>
    </xf>
    <xf numFmtId="0" fontId="29" fillId="3" borderId="3" xfId="0" applyFont="1" applyFill="1" applyBorder="1" applyAlignment="1">
      <alignment vertical="center" wrapText="1"/>
    </xf>
    <xf numFmtId="0" fontId="19" fillId="0" borderId="9" xfId="0" applyFont="1" applyBorder="1" applyAlignment="1">
      <alignment wrapText="1"/>
    </xf>
    <xf numFmtId="0" fontId="20" fillId="3" borderId="3" xfId="0" applyFont="1" applyFill="1" applyBorder="1" applyAlignment="1">
      <alignment horizontal="center" vertical="center" wrapText="1"/>
    </xf>
    <xf numFmtId="0" fontId="19" fillId="0" borderId="7" xfId="0" applyFont="1" applyBorder="1" applyAlignment="1">
      <alignment wrapText="1"/>
    </xf>
    <xf numFmtId="0" fontId="19" fillId="0" borderId="5" xfId="0" applyFont="1" applyBorder="1" applyAlignment="1">
      <alignment wrapText="1"/>
    </xf>
    <xf numFmtId="0" fontId="30" fillId="2" borderId="36" xfId="0" applyFont="1" applyFill="1" applyBorder="1" applyAlignment="1">
      <alignment horizontal="center" vertical="center"/>
    </xf>
    <xf numFmtId="0" fontId="30" fillId="2" borderId="37" xfId="0" applyFont="1" applyFill="1" applyBorder="1" applyAlignment="1">
      <alignment horizontal="center" vertical="center"/>
    </xf>
    <xf numFmtId="0" fontId="30" fillId="2" borderId="38"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3" xfId="0" applyFont="1" applyFill="1" applyBorder="1" applyAlignment="1">
      <alignment horizontal="center" vertical="center"/>
    </xf>
    <xf numFmtId="0" fontId="25" fillId="0" borderId="13" xfId="0" applyFont="1" applyBorder="1" applyAlignment="1">
      <alignment horizontal="center"/>
    </xf>
    <xf numFmtId="0" fontId="25" fillId="0" borderId="14" xfId="0" applyFont="1" applyBorder="1" applyAlignment="1">
      <alignment horizontal="center"/>
    </xf>
    <xf numFmtId="0" fontId="25" fillId="0" borderId="15" xfId="0" applyFont="1" applyBorder="1" applyAlignment="1">
      <alignment horizontal="center"/>
    </xf>
    <xf numFmtId="0" fontId="25" fillId="0" borderId="17"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8" xfId="0" applyFont="1" applyBorder="1" applyAlignment="1">
      <alignment horizontal="center" vertical="center"/>
    </xf>
    <xf numFmtId="0" fontId="25" fillId="0" borderId="3" xfId="0" applyFont="1" applyBorder="1" applyAlignment="1">
      <alignment horizontal="center" vertical="center"/>
    </xf>
    <xf numFmtId="0" fontId="25" fillId="0" borderId="16"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7" xfId="0" applyFont="1" applyBorder="1" applyAlignment="1">
      <alignment horizontal="center" vertical="center"/>
    </xf>
    <xf numFmtId="0" fontId="25" fillId="0" borderId="1"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xf>
    <xf numFmtId="0" fontId="25" fillId="0" borderId="35" xfId="0" applyFont="1" applyBorder="1" applyAlignment="1">
      <alignment horizontal="center"/>
    </xf>
    <xf numFmtId="0" fontId="25" fillId="0" borderId="42" xfId="0" applyFont="1" applyBorder="1" applyAlignment="1">
      <alignment horizontal="center" vertical="center"/>
    </xf>
    <xf numFmtId="0" fontId="25" fillId="0" borderId="35" xfId="0" applyFont="1" applyBorder="1" applyAlignment="1">
      <alignment horizontal="center" vertical="center"/>
    </xf>
    <xf numFmtId="0" fontId="25" fillId="0" borderId="37" xfId="0" applyFont="1" applyBorder="1" applyAlignment="1">
      <alignment horizontal="center"/>
    </xf>
    <xf numFmtId="0" fontId="25" fillId="0" borderId="38" xfId="0" applyFont="1" applyBorder="1" applyAlignment="1">
      <alignment horizontal="center"/>
    </xf>
    <xf numFmtId="167" fontId="25" fillId="0" borderId="11" xfId="1" applyNumberFormat="1" applyFont="1" applyBorder="1" applyAlignment="1">
      <alignment horizontal="center"/>
    </xf>
    <xf numFmtId="0" fontId="25" fillId="0" borderId="0" xfId="0" applyFont="1" applyAlignment="1">
      <alignment horizontal="right" vertical="center"/>
    </xf>
    <xf numFmtId="0" fontId="25" fillId="0" borderId="0" xfId="0" applyFont="1" applyAlignment="1">
      <alignment horizontal="center" vertical="center"/>
    </xf>
    <xf numFmtId="0" fontId="10" fillId="0" borderId="1" xfId="0" applyFont="1" applyBorder="1" applyAlignment="1">
      <alignment horizontal="left" vertical="center" wrapText="1"/>
    </xf>
    <xf numFmtId="0" fontId="23" fillId="0" borderId="1" xfId="0" applyFont="1" applyBorder="1" applyAlignment="1">
      <alignment horizontal="left" vertical="center" wrapText="1"/>
    </xf>
    <xf numFmtId="0" fontId="25" fillId="0" borderId="34" xfId="0" applyFont="1" applyBorder="1" applyAlignment="1">
      <alignment horizontal="center" vertical="center"/>
    </xf>
    <xf numFmtId="0" fontId="25" fillId="0" borderId="32" xfId="0" applyFont="1" applyBorder="1" applyAlignment="1">
      <alignment horizontal="center" vertical="center"/>
    </xf>
    <xf numFmtId="0" fontId="25" fillId="0" borderId="33" xfId="0" applyFont="1" applyBorder="1" applyAlignment="1">
      <alignment horizontal="center" vertical="center"/>
    </xf>
    <xf numFmtId="0" fontId="25" fillId="0" borderId="36" xfId="0" applyFont="1" applyBorder="1" applyAlignment="1">
      <alignment horizontal="center"/>
    </xf>
    <xf numFmtId="0" fontId="23" fillId="0" borderId="43" xfId="0" applyFont="1" applyBorder="1" applyAlignment="1">
      <alignment horizontal="right"/>
    </xf>
    <xf numFmtId="0" fontId="23" fillId="0" borderId="44" xfId="0" applyFont="1" applyBorder="1" applyAlignment="1">
      <alignment horizontal="right"/>
    </xf>
    <xf numFmtId="0" fontId="23" fillId="0" borderId="35" xfId="0" applyFont="1" applyBorder="1" applyAlignment="1">
      <alignment horizontal="right"/>
    </xf>
    <xf numFmtId="0" fontId="25" fillId="0" borderId="20" xfId="0" applyFont="1" applyBorder="1" applyAlignment="1">
      <alignment horizontal="center"/>
    </xf>
    <xf numFmtId="0" fontId="25" fillId="0" borderId="21" xfId="0" applyFont="1" applyBorder="1" applyAlignment="1">
      <alignment horizontal="center"/>
    </xf>
    <xf numFmtId="0" fontId="25" fillId="0" borderId="23" xfId="0" applyFont="1" applyBorder="1" applyAlignment="1">
      <alignment horizontal="center"/>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167" fontId="25" fillId="0" borderId="17" xfId="1" applyNumberFormat="1" applyFont="1" applyBorder="1" applyAlignment="1">
      <alignment horizontal="center" vertical="center" wrapText="1"/>
    </xf>
    <xf numFmtId="167" fontId="25" fillId="0" borderId="1" xfId="1" applyNumberFormat="1" applyFont="1" applyBorder="1" applyAlignment="1">
      <alignment horizontal="center" vertical="center" wrapText="1"/>
    </xf>
    <xf numFmtId="0" fontId="25" fillId="0" borderId="18"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39" xfId="0" applyFont="1" applyBorder="1" applyAlignment="1">
      <alignment horizontal="center"/>
    </xf>
    <xf numFmtId="0" fontId="25" fillId="0" borderId="40" xfId="0" applyFont="1" applyBorder="1" applyAlignment="1">
      <alignment horizontal="center"/>
    </xf>
    <xf numFmtId="0" fontId="25" fillId="0" borderId="41" xfId="0" applyFont="1" applyBorder="1" applyAlignment="1">
      <alignment horizontal="center"/>
    </xf>
    <xf numFmtId="0" fontId="23" fillId="0" borderId="19" xfId="0" applyFont="1" applyBorder="1" applyAlignment="1">
      <alignment horizontal="center" vertical="center"/>
    </xf>
    <xf numFmtId="0" fontId="23" fillId="0" borderId="16" xfId="0" applyFont="1" applyBorder="1" applyAlignment="1">
      <alignment horizontal="center" vertical="center"/>
    </xf>
    <xf numFmtId="0" fontId="23" fillId="0" borderId="13" xfId="0" applyFont="1" applyBorder="1" applyAlignment="1">
      <alignment horizontal="center"/>
    </xf>
    <xf numFmtId="0" fontId="23" fillId="0" borderId="14" xfId="0" applyFont="1" applyBorder="1" applyAlignment="1">
      <alignment horizontal="center"/>
    </xf>
    <xf numFmtId="0" fontId="25" fillId="10" borderId="13" xfId="0" applyFont="1" applyFill="1" applyBorder="1" applyAlignment="1">
      <alignment horizontal="center" vertical="center"/>
    </xf>
    <xf numFmtId="0" fontId="25" fillId="10" borderId="14" xfId="0" applyFont="1" applyFill="1" applyBorder="1" applyAlignment="1">
      <alignment horizontal="center" vertical="center"/>
    </xf>
    <xf numFmtId="0" fontId="25" fillId="10" borderId="15" xfId="0" applyFont="1" applyFill="1" applyBorder="1" applyAlignment="1">
      <alignment horizontal="center" vertical="center"/>
    </xf>
    <xf numFmtId="0" fontId="23" fillId="0" borderId="15" xfId="0" applyFont="1" applyBorder="1" applyAlignment="1">
      <alignment horizontal="center"/>
    </xf>
    <xf numFmtId="0" fontId="23" fillId="6" borderId="0" xfId="0" applyFont="1" applyFill="1" applyAlignment="1">
      <alignment horizontal="center"/>
    </xf>
    <xf numFmtId="0" fontId="25" fillId="0" borderId="39" xfId="0" applyFont="1" applyBorder="1" applyAlignment="1">
      <alignment horizontal="center" vertical="top"/>
    </xf>
    <xf numFmtId="0" fontId="25" fillId="0" borderId="40" xfId="0" applyFont="1" applyBorder="1" applyAlignment="1">
      <alignment horizontal="center" vertical="top"/>
    </xf>
    <xf numFmtId="0" fontId="25" fillId="0" borderId="41" xfId="0" applyFont="1" applyBorder="1" applyAlignment="1">
      <alignment horizontal="center" vertical="top"/>
    </xf>
    <xf numFmtId="0" fontId="25" fillId="0" borderId="1" xfId="0" applyFont="1" applyBorder="1" applyAlignment="1">
      <alignment horizontal="center" vertical="top" wrapText="1"/>
    </xf>
    <xf numFmtId="0" fontId="25" fillId="0" borderId="3" xfId="0" applyFont="1" applyBorder="1" applyAlignment="1">
      <alignment horizontal="center" vertical="top"/>
    </xf>
    <xf numFmtId="0" fontId="25" fillId="0" borderId="43" xfId="0" applyFont="1" applyBorder="1" applyAlignment="1">
      <alignment horizontal="right" vertical="top"/>
    </xf>
    <xf numFmtId="0" fontId="25" fillId="0" borderId="44" xfId="0" applyFont="1" applyBorder="1" applyAlignment="1">
      <alignment horizontal="right" vertical="top"/>
    </xf>
    <xf numFmtId="0" fontId="25" fillId="0" borderId="35" xfId="0" applyFont="1" applyBorder="1" applyAlignment="1">
      <alignment horizontal="right" vertical="top"/>
    </xf>
    <xf numFmtId="0" fontId="25" fillId="0" borderId="8" xfId="0" applyFont="1" applyBorder="1" applyAlignment="1">
      <alignment horizontal="center" vertical="top" wrapText="1"/>
    </xf>
    <xf numFmtId="0" fontId="25" fillId="0" borderId="1" xfId="0" applyFont="1" applyBorder="1" applyAlignment="1">
      <alignment horizontal="center" vertical="top"/>
    </xf>
    <xf numFmtId="0" fontId="23" fillId="0" borderId="34"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5" fillId="0" borderId="1" xfId="0" applyFont="1" applyBorder="1" applyAlignment="1">
      <alignment horizontal="left" vertical="center" wrapText="1"/>
    </xf>
    <xf numFmtId="0" fontId="23" fillId="0" borderId="45"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3" fillId="0" borderId="8" xfId="0" applyFont="1" applyBorder="1" applyAlignment="1">
      <alignment horizontal="center" vertical="center"/>
    </xf>
    <xf numFmtId="0" fontId="23" fillId="3" borderId="1" xfId="0" applyFont="1" applyFill="1" applyBorder="1" applyAlignment="1">
      <alignment vertical="center"/>
    </xf>
    <xf numFmtId="0" fontId="23" fillId="3" borderId="1" xfId="0" applyFont="1" applyFill="1" applyBorder="1" applyAlignment="1">
      <alignment horizontal="left" vertical="center"/>
    </xf>
    <xf numFmtId="0" fontId="23" fillId="3" borderId="2" xfId="0" applyFont="1" applyFill="1" applyBorder="1" applyAlignment="1">
      <alignment horizontal="left" vertical="center"/>
    </xf>
    <xf numFmtId="0" fontId="23" fillId="3" borderId="2" xfId="0" applyFont="1" applyFill="1" applyBorder="1" applyAlignment="1">
      <alignment horizontal="left" vertical="center" wrapText="1"/>
    </xf>
    <xf numFmtId="0" fontId="23" fillId="3" borderId="26" xfId="0" applyFont="1" applyFill="1" applyBorder="1" applyAlignment="1">
      <alignment horizontal="left" vertical="center" wrapText="1"/>
    </xf>
    <xf numFmtId="0" fontId="23" fillId="3" borderId="19" xfId="0" applyFont="1" applyFill="1" applyBorder="1" applyAlignment="1">
      <alignment horizontal="center" vertical="center"/>
    </xf>
    <xf numFmtId="0" fontId="23" fillId="3" borderId="45" xfId="0" applyFont="1" applyFill="1" applyBorder="1" applyAlignment="1">
      <alignment horizontal="center" vertical="center"/>
    </xf>
    <xf numFmtId="0" fontId="25" fillId="3" borderId="29" xfId="2" applyFont="1" applyFill="1" applyBorder="1" applyAlignment="1">
      <alignment horizontal="right"/>
    </xf>
    <xf numFmtId="0" fontId="25" fillId="3" borderId="11" xfId="2" applyFont="1" applyFill="1" applyBorder="1" applyAlignment="1">
      <alignment horizontal="right"/>
    </xf>
    <xf numFmtId="165" fontId="14" fillId="0" borderId="34" xfId="2" applyNumberFormat="1" applyFont="1" applyBorder="1" applyAlignment="1">
      <alignment horizontal="center" vertical="center"/>
    </xf>
    <xf numFmtId="165" fontId="14" fillId="0" borderId="32" xfId="2" applyNumberFormat="1" applyFont="1" applyBorder="1" applyAlignment="1">
      <alignment horizontal="center" vertical="center"/>
    </xf>
    <xf numFmtId="165" fontId="14" fillId="0" borderId="33" xfId="2" applyNumberFormat="1" applyFont="1" applyBorder="1" applyAlignment="1">
      <alignment horizontal="center" vertical="center"/>
    </xf>
    <xf numFmtId="0" fontId="25" fillId="0" borderId="20" xfId="2" applyFont="1" applyBorder="1" applyAlignment="1">
      <alignment horizontal="center"/>
    </xf>
    <xf numFmtId="0" fontId="25" fillId="0" borderId="21" xfId="2" applyFont="1" applyBorder="1" applyAlignment="1">
      <alignment horizontal="center"/>
    </xf>
    <xf numFmtId="0" fontId="25" fillId="0" borderId="23" xfId="2" applyFont="1" applyBorder="1" applyAlignment="1">
      <alignment horizontal="center"/>
    </xf>
    <xf numFmtId="0" fontId="25" fillId="0" borderId="16" xfId="2" applyFont="1" applyBorder="1" applyAlignment="1">
      <alignment horizontal="center" vertical="center" wrapText="1"/>
    </xf>
    <xf numFmtId="0" fontId="25" fillId="0" borderId="8" xfId="2" applyFont="1" applyBorder="1" applyAlignment="1">
      <alignment horizontal="center" vertical="center" wrapText="1"/>
    </xf>
    <xf numFmtId="0" fontId="25" fillId="0" borderId="17" xfId="2" applyFont="1" applyBorder="1" applyAlignment="1">
      <alignment horizontal="center" vertical="center"/>
    </xf>
    <xf numFmtId="0" fontId="25" fillId="0" borderId="1" xfId="2" applyFont="1" applyBorder="1" applyAlignment="1">
      <alignment horizontal="center" vertical="center"/>
    </xf>
    <xf numFmtId="0" fontId="25" fillId="0" borderId="17" xfId="2" applyFont="1" applyBorder="1" applyAlignment="1">
      <alignment horizontal="center" vertical="center" wrapText="1"/>
    </xf>
    <xf numFmtId="0" fontId="25" fillId="0" borderId="1" xfId="2" applyFont="1" applyBorder="1" applyAlignment="1">
      <alignment horizontal="center" vertical="center" wrapText="1"/>
    </xf>
    <xf numFmtId="0" fontId="25" fillId="0" borderId="18" xfId="2" applyFont="1" applyBorder="1" applyAlignment="1">
      <alignment horizontal="center" vertical="center"/>
    </xf>
    <xf numFmtId="0" fontId="25" fillId="0" borderId="3" xfId="2" applyFont="1" applyBorder="1" applyAlignment="1">
      <alignment horizontal="center" vertical="center"/>
    </xf>
    <xf numFmtId="0" fontId="25" fillId="7" borderId="1" xfId="0" applyFont="1" applyFill="1" applyBorder="1" applyAlignment="1">
      <alignment horizontal="center" vertical="center"/>
    </xf>
    <xf numFmtId="0" fontId="25" fillId="0" borderId="4" xfId="0" applyFont="1" applyBorder="1" applyAlignment="1">
      <alignment horizontal="center" vertical="center"/>
    </xf>
    <xf numFmtId="0" fontId="25" fillId="0" borderId="46" xfId="0" applyFont="1" applyBorder="1" applyAlignment="1">
      <alignment horizontal="center"/>
    </xf>
    <xf numFmtId="164" fontId="23" fillId="0" borderId="4" xfId="1" applyFont="1" applyBorder="1" applyAlignment="1">
      <alignment horizontal="center"/>
    </xf>
    <xf numFmtId="164" fontId="25" fillId="0" borderId="4" xfId="1" applyFont="1" applyBorder="1" applyAlignment="1">
      <alignment horizont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3" fillId="0" borderId="0" xfId="0" applyFont="1" applyAlignment="1">
      <alignment vertical="center"/>
    </xf>
    <xf numFmtId="0" fontId="23" fillId="0" borderId="8" xfId="0" applyFont="1" applyBorder="1" applyAlignment="1">
      <alignment vertical="center"/>
    </xf>
    <xf numFmtId="0" fontId="23" fillId="0" borderId="3" xfId="0" applyFont="1" applyBorder="1" applyAlignment="1">
      <alignment vertical="center"/>
    </xf>
    <xf numFmtId="0" fontId="25" fillId="0" borderId="8" xfId="0" applyFont="1" applyBorder="1" applyAlignment="1">
      <alignment horizontal="center" vertical="center"/>
    </xf>
    <xf numFmtId="0" fontId="23" fillId="0" borderId="31" xfId="0" applyFont="1" applyBorder="1" applyAlignment="1">
      <alignment vertical="center"/>
    </xf>
    <xf numFmtId="0" fontId="25" fillId="0" borderId="31" xfId="0" applyFont="1" applyBorder="1" applyAlignment="1">
      <alignment horizontal="right" vertical="center"/>
    </xf>
    <xf numFmtId="0" fontId="25" fillId="0" borderId="32" xfId="0" applyFont="1" applyBorder="1" applyAlignment="1">
      <alignment horizontal="right" vertical="center"/>
    </xf>
    <xf numFmtId="0" fontId="25" fillId="0" borderId="33" xfId="0" applyFont="1" applyBorder="1" applyAlignment="1">
      <alignment horizontal="right" vertical="center"/>
    </xf>
    <xf numFmtId="0" fontId="25" fillId="0" borderId="0" xfId="0" applyFont="1" applyAlignment="1">
      <alignment vertical="center"/>
    </xf>
    <xf numFmtId="0" fontId="23" fillId="0" borderId="10" xfId="0" applyFont="1" applyBorder="1" applyAlignment="1">
      <alignment vertical="center"/>
    </xf>
    <xf numFmtId="0" fontId="23" fillId="0" borderId="7" xfId="0" applyFont="1" applyBorder="1" applyAlignment="1">
      <alignment vertical="center"/>
    </xf>
    <xf numFmtId="0" fontId="25" fillId="6" borderId="1" xfId="0" applyFont="1" applyFill="1" applyBorder="1" applyAlignment="1">
      <alignment vertical="center" wrapText="1"/>
    </xf>
    <xf numFmtId="0" fontId="23" fillId="0" borderId="1" xfId="0" applyFont="1" applyBorder="1" applyAlignment="1">
      <alignment horizontal="left" vertical="center"/>
    </xf>
    <xf numFmtId="0" fontId="23" fillId="0" borderId="11" xfId="0" applyFont="1" applyBorder="1" applyAlignment="1">
      <alignment vertical="center" wrapText="1"/>
    </xf>
    <xf numFmtId="0" fontId="23" fillId="0" borderId="12" xfId="0" applyFont="1" applyBorder="1" applyAlignment="1">
      <alignment vertical="center"/>
    </xf>
  </cellXfs>
  <cellStyles count="5">
    <cellStyle name="Comma" xfId="1" builtinId="3"/>
    <cellStyle name="Normal" xfId="0" builtinId="0"/>
    <cellStyle name="Normal 2" xfId="2" xr:uid="{17089708-B5CC-4B50-A1C3-B8DD6938180D}"/>
    <cellStyle name="Normal 4 2" xfId="3" xr:uid="{D5617006-BB21-44C7-A8F6-CD9192000515}"/>
    <cellStyle name="Normal 5" xfId="4" xr:uid="{99ACC942-9AC8-491E-8F9E-038DC2B62D3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47625</xdr:colOff>
      <xdr:row>2</xdr:row>
      <xdr:rowOff>38100</xdr:rowOff>
    </xdr:from>
    <xdr:to>
      <xdr:col>16</xdr:col>
      <xdr:colOff>866775</xdr:colOff>
      <xdr:row>2</xdr:row>
      <xdr:rowOff>1314450</xdr:rowOff>
    </xdr:to>
    <xdr:pic>
      <xdr:nvPicPr>
        <xdr:cNvPr id="34821" name="Picture 1">
          <a:extLst>
            <a:ext uri="{FF2B5EF4-FFF2-40B4-BE49-F238E27FC236}">
              <a16:creationId xmlns:a16="http://schemas.microsoft.com/office/drawing/2014/main" id="{F6BFEFEE-2F58-751D-4CC2-0742C709D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3175" y="514350"/>
          <a:ext cx="81915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47625</xdr:colOff>
      <xdr:row>3</xdr:row>
      <xdr:rowOff>66675</xdr:rowOff>
    </xdr:from>
    <xdr:to>
      <xdr:col>16</xdr:col>
      <xdr:colOff>885825</xdr:colOff>
      <xdr:row>3</xdr:row>
      <xdr:rowOff>561975</xdr:rowOff>
    </xdr:to>
    <xdr:pic>
      <xdr:nvPicPr>
        <xdr:cNvPr id="34822" name="Picture 2">
          <a:extLst>
            <a:ext uri="{FF2B5EF4-FFF2-40B4-BE49-F238E27FC236}">
              <a16:creationId xmlns:a16="http://schemas.microsoft.com/office/drawing/2014/main" id="{04F73BAB-39D5-6DEC-E1A8-8125887E21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73175" y="1895475"/>
          <a:ext cx="838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85725</xdr:colOff>
      <xdr:row>4</xdr:row>
      <xdr:rowOff>95250</xdr:rowOff>
    </xdr:from>
    <xdr:to>
      <xdr:col>16</xdr:col>
      <xdr:colOff>952500</xdr:colOff>
      <xdr:row>4</xdr:row>
      <xdr:rowOff>752475</xdr:rowOff>
    </xdr:to>
    <xdr:pic>
      <xdr:nvPicPr>
        <xdr:cNvPr id="34823" name="Picture 3">
          <a:extLst>
            <a:ext uri="{FF2B5EF4-FFF2-40B4-BE49-F238E27FC236}">
              <a16:creationId xmlns:a16="http://schemas.microsoft.com/office/drawing/2014/main" id="{623D1B59-A9CE-0111-35E4-EE77420CD0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11275" y="2533650"/>
          <a:ext cx="866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2371725</xdr:colOff>
      <xdr:row>9</xdr:row>
      <xdr:rowOff>57150</xdr:rowOff>
    </xdr:from>
    <xdr:to>
      <xdr:col>19</xdr:col>
      <xdr:colOff>314325</xdr:colOff>
      <xdr:row>33</xdr:row>
      <xdr:rowOff>152400</xdr:rowOff>
    </xdr:to>
    <xdr:pic>
      <xdr:nvPicPr>
        <xdr:cNvPr id="34824" name="Picture 4">
          <a:extLst>
            <a:ext uri="{FF2B5EF4-FFF2-40B4-BE49-F238E27FC236}">
              <a16:creationId xmlns:a16="http://schemas.microsoft.com/office/drawing/2014/main" id="{68431061-7366-BDF1-86E7-31088F8A6A2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24150" y="4305300"/>
          <a:ext cx="13811250" cy="581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B7B5C-9E50-474E-B0D9-07AA3DB421AC}">
  <sheetPr>
    <tabColor rgb="FFFF0000"/>
    <pageSetUpPr fitToPage="1"/>
  </sheetPr>
  <dimension ref="A1:IV93"/>
  <sheetViews>
    <sheetView view="pageBreakPreview" zoomScale="73" zoomScaleNormal="70" zoomScaleSheetLayoutView="73" workbookViewId="0">
      <pane xSplit="1" ySplit="4" topLeftCell="B90" activePane="bottomRight" state="frozen"/>
      <selection pane="topRight" activeCell="E8" sqref="E8"/>
      <selection pane="bottomLeft" activeCell="E8" sqref="E8"/>
      <selection pane="bottomRight" activeCell="B6" sqref="B6"/>
    </sheetView>
  </sheetViews>
  <sheetFormatPr defaultColWidth="9.36328125" defaultRowHeight="20" x14ac:dyDescent="0.85"/>
  <cols>
    <col min="1" max="1" width="5.36328125" style="29" bestFit="1" customWidth="1"/>
    <col min="2" max="2" width="108" style="349" customWidth="1"/>
    <col min="3" max="3" width="9.6328125" style="20" bestFit="1" customWidth="1"/>
    <col min="4" max="4" width="11.54296875" style="27" bestFit="1" customWidth="1"/>
    <col min="5" max="5" width="5.453125" style="8" bestFit="1" customWidth="1"/>
    <col min="6" max="6" width="8.90625" style="8" bestFit="1" customWidth="1"/>
    <col min="7" max="7" width="29.6328125" style="349" customWidth="1"/>
    <col min="8" max="16384" width="9.36328125" style="8"/>
  </cols>
  <sheetData>
    <row r="1" spans="1:7" s="3" customFormat="1" ht="23" x14ac:dyDescent="0.35">
      <c r="A1" s="364" t="s">
        <v>0</v>
      </c>
      <c r="B1" s="365"/>
      <c r="C1" s="365"/>
      <c r="D1" s="365"/>
      <c r="E1" s="365"/>
      <c r="F1" s="365"/>
      <c r="G1" s="366"/>
    </row>
    <row r="2" spans="1:7" s="3" customFormat="1" ht="23" x14ac:dyDescent="0.35">
      <c r="A2" s="367" t="s">
        <v>1</v>
      </c>
      <c r="B2" s="368"/>
      <c r="C2" s="368"/>
      <c r="D2" s="368"/>
      <c r="E2" s="368"/>
      <c r="F2" s="368"/>
      <c r="G2" s="369"/>
    </row>
    <row r="3" spans="1:7" s="29" customFormat="1" ht="40" x14ac:dyDescent="0.35">
      <c r="A3" s="67" t="s">
        <v>2</v>
      </c>
      <c r="B3" s="4" t="s">
        <v>3</v>
      </c>
      <c r="C3" s="35" t="s">
        <v>4</v>
      </c>
      <c r="D3" s="25" t="s">
        <v>5</v>
      </c>
      <c r="E3" s="35" t="s">
        <v>6</v>
      </c>
      <c r="F3" s="4" t="s">
        <v>7</v>
      </c>
      <c r="G3" s="351" t="s">
        <v>8</v>
      </c>
    </row>
    <row r="4" spans="1:7" s="29" customFormat="1" x14ac:dyDescent="0.35">
      <c r="A4" s="68"/>
      <c r="B4" s="346" t="s">
        <v>9</v>
      </c>
      <c r="C4" s="46"/>
      <c r="D4" s="47"/>
      <c r="E4" s="46"/>
      <c r="F4" s="48"/>
      <c r="G4" s="352"/>
    </row>
    <row r="5" spans="1:7" s="29" customFormat="1" x14ac:dyDescent="0.35">
      <c r="A5" s="69"/>
      <c r="B5" s="347" t="s">
        <v>10</v>
      </c>
      <c r="C5" s="42"/>
      <c r="D5" s="43"/>
      <c r="E5" s="42"/>
      <c r="F5" s="44"/>
      <c r="G5" s="353"/>
    </row>
    <row r="6" spans="1:7" ht="240" x14ac:dyDescent="0.85">
      <c r="A6" s="33">
        <v>1</v>
      </c>
      <c r="B6" s="18" t="s">
        <v>11</v>
      </c>
      <c r="C6" s="24" t="s">
        <v>12</v>
      </c>
      <c r="D6" s="7">
        <f>'Aluminium Partition work'!I11</f>
        <v>94.763500000000008</v>
      </c>
      <c r="E6" s="6"/>
      <c r="F6" s="7"/>
      <c r="G6" s="354" t="s">
        <v>13</v>
      </c>
    </row>
    <row r="7" spans="1:7" x14ac:dyDescent="0.85">
      <c r="A7" s="70"/>
      <c r="B7" s="45" t="s">
        <v>14</v>
      </c>
      <c r="C7" s="39"/>
      <c r="D7" s="40"/>
      <c r="E7" s="41"/>
      <c r="F7" s="40"/>
      <c r="G7" s="355"/>
    </row>
    <row r="8" spans="1:7" ht="120" x14ac:dyDescent="0.85">
      <c r="A8" s="33">
        <v>2</v>
      </c>
      <c r="B8" s="315" t="s">
        <v>15</v>
      </c>
      <c r="C8" s="24" t="s">
        <v>12</v>
      </c>
      <c r="D8" s="7">
        <f>'Alum.Repairing (Build)'!I46</f>
        <v>27.641994999999998</v>
      </c>
      <c r="E8" s="6"/>
      <c r="F8" s="7"/>
      <c r="G8" s="354" t="s">
        <v>16</v>
      </c>
    </row>
    <row r="9" spans="1:7" ht="281.5" x14ac:dyDescent="0.85">
      <c r="A9" s="33">
        <f>A8+1</f>
        <v>3</v>
      </c>
      <c r="B9" s="18" t="s">
        <v>17</v>
      </c>
      <c r="C9" s="24" t="s">
        <v>12</v>
      </c>
      <c r="D9" s="7">
        <f>'New Doors'!I14+'Door Repairing ACP'!I30</f>
        <v>76.972000000000008</v>
      </c>
      <c r="E9" s="6"/>
      <c r="F9" s="7"/>
      <c r="G9" s="354" t="s">
        <v>18</v>
      </c>
    </row>
    <row r="10" spans="1:7" ht="280" x14ac:dyDescent="0.85">
      <c r="A10" s="33">
        <f>A9+1</f>
        <v>4</v>
      </c>
      <c r="B10" s="50" t="s">
        <v>19</v>
      </c>
      <c r="C10" s="24" t="s">
        <v>20</v>
      </c>
      <c r="D10" s="26">
        <f>'New Doors'!K14+'Door Repairing ACP'!K30+25</f>
        <v>204.11</v>
      </c>
      <c r="E10" s="6"/>
      <c r="F10" s="7"/>
      <c r="G10" s="354"/>
    </row>
    <row r="11" spans="1:7" s="29" customFormat="1" x14ac:dyDescent="0.85">
      <c r="A11" s="33">
        <f>A10+1</f>
        <v>5</v>
      </c>
      <c r="B11" s="9" t="s">
        <v>21</v>
      </c>
      <c r="C11" s="24" t="s">
        <v>22</v>
      </c>
      <c r="D11" s="26">
        <v>29</v>
      </c>
      <c r="E11" s="24"/>
      <c r="F11" s="7"/>
      <c r="G11" s="354" t="s">
        <v>23</v>
      </c>
    </row>
    <row r="12" spans="1:7" ht="40" x14ac:dyDescent="0.85">
      <c r="A12" s="33">
        <f>A11+1</f>
        <v>6</v>
      </c>
      <c r="B12" s="9" t="s">
        <v>24</v>
      </c>
      <c r="C12" s="24" t="s">
        <v>12</v>
      </c>
      <c r="D12" s="7">
        <f>Curtains!I20</f>
        <v>38.31</v>
      </c>
      <c r="E12" s="6"/>
      <c r="F12" s="7"/>
      <c r="G12" s="354" t="s">
        <v>25</v>
      </c>
    </row>
    <row r="13" spans="1:7" s="29" customFormat="1" x14ac:dyDescent="0.35">
      <c r="A13" s="70" t="s">
        <v>26</v>
      </c>
      <c r="B13" s="45" t="s">
        <v>27</v>
      </c>
      <c r="C13" s="39"/>
      <c r="D13" s="40"/>
      <c r="E13" s="41"/>
      <c r="F13" s="40"/>
      <c r="G13" s="355"/>
    </row>
    <row r="14" spans="1:7" ht="40" x14ac:dyDescent="0.85">
      <c r="A14" s="33">
        <f>A12+1</f>
        <v>7</v>
      </c>
      <c r="B14" s="1" t="s">
        <v>28</v>
      </c>
      <c r="C14" s="24" t="s">
        <v>12</v>
      </c>
      <c r="D14" s="7">
        <f>'Booth Repairing'!I6</f>
        <v>34.311203999999996</v>
      </c>
      <c r="E14" s="6"/>
      <c r="F14" s="51"/>
      <c r="G14" s="354" t="s">
        <v>29</v>
      </c>
    </row>
    <row r="15" spans="1:7" ht="240" x14ac:dyDescent="0.85">
      <c r="A15" s="33">
        <f>A14+1</f>
        <v>8</v>
      </c>
      <c r="B15" s="1" t="s">
        <v>30</v>
      </c>
      <c r="C15" s="24" t="s">
        <v>12</v>
      </c>
      <c r="D15" s="7">
        <f>'Booth Repairing'!I7</f>
        <v>191.94567999999998</v>
      </c>
      <c r="E15" s="6"/>
      <c r="F15" s="51"/>
      <c r="G15" s="354" t="s">
        <v>31</v>
      </c>
    </row>
    <row r="16" spans="1:7" s="29" customFormat="1" x14ac:dyDescent="0.35">
      <c r="A16" s="70" t="s">
        <v>32</v>
      </c>
      <c r="B16" s="45" t="s">
        <v>33</v>
      </c>
      <c r="C16" s="39"/>
      <c r="D16" s="40"/>
      <c r="E16" s="41"/>
      <c r="F16" s="40"/>
      <c r="G16" s="355"/>
    </row>
    <row r="17" spans="1:7" ht="320" x14ac:dyDescent="0.85">
      <c r="A17" s="71">
        <f>A15+1</f>
        <v>9</v>
      </c>
      <c r="B17" s="9" t="s">
        <v>34</v>
      </c>
      <c r="C17" s="24" t="s">
        <v>12</v>
      </c>
      <c r="D17" s="7">
        <f>'Plaza Painting'!I209</f>
        <v>2409.1865300000009</v>
      </c>
      <c r="E17" s="6"/>
      <c r="F17" s="7"/>
      <c r="G17" s="356" t="s">
        <v>35</v>
      </c>
    </row>
    <row r="18" spans="1:7" s="3" customFormat="1" ht="269.5" x14ac:dyDescent="0.35">
      <c r="A18" s="71">
        <f>A17+1</f>
        <v>10</v>
      </c>
      <c r="B18" s="49" t="s">
        <v>36</v>
      </c>
      <c r="C18" s="24" t="s">
        <v>12</v>
      </c>
      <c r="D18" s="7">
        <f>'Plaza Painting'!T79</f>
        <v>1295.8090000000002</v>
      </c>
      <c r="E18" s="6"/>
      <c r="F18" s="7"/>
      <c r="G18" s="356" t="s">
        <v>35</v>
      </c>
    </row>
    <row r="19" spans="1:7" ht="240" x14ac:dyDescent="0.85">
      <c r="A19" s="71">
        <f>A18+1</f>
        <v>11</v>
      </c>
      <c r="B19" s="9" t="s">
        <v>37</v>
      </c>
      <c r="C19" s="24" t="s">
        <v>12</v>
      </c>
      <c r="D19" s="7">
        <f>'Toll Plaza Enam. Painting'!I28</f>
        <v>2389.3980000000001</v>
      </c>
      <c r="E19" s="6"/>
      <c r="F19" s="7"/>
      <c r="G19" s="356" t="s">
        <v>38</v>
      </c>
    </row>
    <row r="20" spans="1:7" ht="300" x14ac:dyDescent="0.85">
      <c r="A20" s="71">
        <f>A19+1</f>
        <v>12</v>
      </c>
      <c r="B20" s="18" t="s">
        <v>39</v>
      </c>
      <c r="C20" s="24" t="s">
        <v>12</v>
      </c>
      <c r="D20" s="7">
        <f>'Toll Plaza Enam. Painting'!I67+'Toll Plaza Enam. Painting'!I60+'Toll Plaza Enam. Painting'!I64+'Toll Plaza Canopy Painting'!H8+'Toll Plaza Canopy Painting'!H19</f>
        <v>579.68023999999991</v>
      </c>
      <c r="E20" s="6"/>
      <c r="F20" s="7"/>
      <c r="G20" s="356"/>
    </row>
    <row r="21" spans="1:7" ht="300" x14ac:dyDescent="0.85">
      <c r="A21" s="71">
        <f>A20+1</f>
        <v>13</v>
      </c>
      <c r="B21" s="52" t="s">
        <v>40</v>
      </c>
      <c r="C21" s="24" t="s">
        <v>41</v>
      </c>
      <c r="D21" s="7">
        <f>'Toll Plaza Enam. Painting'!I31</f>
        <v>732.76</v>
      </c>
      <c r="E21" s="6"/>
      <c r="F21" s="7"/>
      <c r="G21" s="356"/>
    </row>
    <row r="22" spans="1:7" ht="320" x14ac:dyDescent="0.85">
      <c r="A22" s="71">
        <f>A21+1</f>
        <v>14</v>
      </c>
      <c r="B22" s="1" t="s">
        <v>42</v>
      </c>
      <c r="C22" s="24" t="s">
        <v>41</v>
      </c>
      <c r="D22" s="7">
        <f>'Toll Plaza Enam. Painting'!I35</f>
        <v>620</v>
      </c>
      <c r="E22" s="6"/>
      <c r="F22" s="7"/>
      <c r="G22" s="356"/>
    </row>
    <row r="23" spans="1:7" s="29" customFormat="1" x14ac:dyDescent="0.35">
      <c r="A23" s="69" t="s">
        <v>43</v>
      </c>
      <c r="B23" s="45" t="s">
        <v>44</v>
      </c>
      <c r="C23" s="39"/>
      <c r="D23" s="40"/>
      <c r="E23" s="41"/>
      <c r="F23" s="40"/>
      <c r="G23" s="355"/>
    </row>
    <row r="24" spans="1:7" ht="289" x14ac:dyDescent="0.85">
      <c r="A24" s="71">
        <v>2</v>
      </c>
      <c r="B24" s="53" t="s">
        <v>45</v>
      </c>
      <c r="C24" s="24" t="s">
        <v>46</v>
      </c>
      <c r="D24" s="7">
        <f>'Misc.Repairing Items'!I25</f>
        <v>15</v>
      </c>
      <c r="E24" s="6"/>
      <c r="F24" s="7"/>
      <c r="G24" s="357"/>
    </row>
    <row r="25" spans="1:7" ht="136" x14ac:dyDescent="0.85">
      <c r="A25" s="71">
        <v>3</v>
      </c>
      <c r="B25" s="54" t="s">
        <v>47</v>
      </c>
      <c r="C25" s="24" t="s">
        <v>12</v>
      </c>
      <c r="D25" s="7">
        <f>D17*5%+'Toll Plaza Enam. Painting'!I23*20%</f>
        <v>228.66932650000004</v>
      </c>
      <c r="E25" s="6"/>
      <c r="F25" s="7"/>
      <c r="G25" s="357"/>
    </row>
    <row r="26" spans="1:7" ht="140" x14ac:dyDescent="0.85">
      <c r="A26" s="71">
        <v>4</v>
      </c>
      <c r="B26" s="56" t="s">
        <v>48</v>
      </c>
      <c r="C26" s="24" t="s">
        <v>12</v>
      </c>
      <c r="D26" s="7">
        <f>'Misc.Repairing Items'!I20</f>
        <v>231.04000000000002</v>
      </c>
      <c r="E26" s="6"/>
      <c r="F26" s="7"/>
      <c r="G26" s="301" t="s">
        <v>49</v>
      </c>
    </row>
    <row r="27" spans="1:7" ht="280" x14ac:dyDescent="0.85">
      <c r="A27" s="71">
        <v>5</v>
      </c>
      <c r="B27" s="58" t="s">
        <v>50</v>
      </c>
      <c r="C27" s="24" t="s">
        <v>46</v>
      </c>
      <c r="D27" s="7">
        <f>'Misc.Repairing Items'!I26+'MS Gates'!I8+'Misc.Repairing Items'!I31+'Misc.Repairing Items'!I32</f>
        <v>7.35</v>
      </c>
      <c r="E27" s="6"/>
      <c r="F27" s="7"/>
      <c r="G27" s="357"/>
    </row>
    <row r="28" spans="1:7" ht="280" x14ac:dyDescent="0.85">
      <c r="A28" s="71">
        <v>6</v>
      </c>
      <c r="B28" s="315" t="s">
        <v>51</v>
      </c>
      <c r="C28" s="24" t="s">
        <v>46</v>
      </c>
      <c r="D28" s="7">
        <f>'MS Gates'!I11+'Misc.Repairing Items'!I5</f>
        <v>14.673999999999999</v>
      </c>
      <c r="E28" s="6"/>
      <c r="F28" s="7"/>
      <c r="G28" s="317" t="s">
        <v>52</v>
      </c>
    </row>
    <row r="29" spans="1:7" ht="140" x14ac:dyDescent="0.85">
      <c r="A29" s="71">
        <v>7</v>
      </c>
      <c r="B29" s="57" t="s">
        <v>53</v>
      </c>
      <c r="C29" s="24" t="s">
        <v>54</v>
      </c>
      <c r="D29" s="7">
        <f>'Misc.Repairing Items'!I9+'Misc.Repairing Items'!I10+'Misc.Repairing Items'!I11+'Misc.Repairing Items'!I12</f>
        <v>2.4340000000000002</v>
      </c>
      <c r="E29" s="13"/>
      <c r="F29" s="7"/>
      <c r="G29" s="308"/>
    </row>
    <row r="30" spans="1:7" ht="260" x14ac:dyDescent="0.85">
      <c r="A30" s="71">
        <v>8</v>
      </c>
      <c r="B30" s="316" t="s">
        <v>55</v>
      </c>
      <c r="C30" s="24" t="s">
        <v>56</v>
      </c>
      <c r="D30" s="7">
        <f>'MS Gates'!I13+'Misc.Repairing Items'!I6</f>
        <v>1423.6100000000001</v>
      </c>
      <c r="E30" s="13"/>
      <c r="F30" s="7"/>
      <c r="G30" s="308" t="s">
        <v>57</v>
      </c>
    </row>
    <row r="31" spans="1:7" ht="100" x14ac:dyDescent="0.85">
      <c r="A31" s="71">
        <v>9</v>
      </c>
      <c r="B31" s="313" t="s">
        <v>58</v>
      </c>
      <c r="C31" s="24" t="s">
        <v>12</v>
      </c>
      <c r="D31" s="7">
        <f>'Misc.Repairing Items'!I14+'Misc.Repairing Items'!I15+'Misc.Repairing Items'!I16</f>
        <v>192.63750000000002</v>
      </c>
      <c r="E31" s="13"/>
      <c r="F31" s="7"/>
      <c r="G31" s="357"/>
    </row>
    <row r="32" spans="1:7" ht="40" x14ac:dyDescent="0.85">
      <c r="A32" s="71">
        <v>10</v>
      </c>
      <c r="B32" s="15" t="s">
        <v>59</v>
      </c>
      <c r="C32" s="24" t="s">
        <v>60</v>
      </c>
      <c r="D32" s="7">
        <v>1</v>
      </c>
      <c r="E32" s="13"/>
      <c r="F32" s="7"/>
      <c r="G32" s="357"/>
    </row>
    <row r="33" spans="1:7" ht="40" x14ac:dyDescent="0.85">
      <c r="A33" s="71">
        <v>11</v>
      </c>
      <c r="B33" s="22" t="s">
        <v>61</v>
      </c>
      <c r="C33" s="24" t="s">
        <v>41</v>
      </c>
      <c r="D33" s="7">
        <f>'Misc.Repairing Items'!I28</f>
        <v>8</v>
      </c>
      <c r="E33" s="13"/>
      <c r="F33" s="7"/>
      <c r="G33" s="357"/>
    </row>
    <row r="34" spans="1:7" ht="240" x14ac:dyDescent="0.85">
      <c r="A34" s="71">
        <v>12</v>
      </c>
      <c r="B34" s="22" t="s">
        <v>62</v>
      </c>
      <c r="C34" s="24" t="s">
        <v>41</v>
      </c>
      <c r="D34" s="7">
        <f>'Misc.Repairing Items'!I29</f>
        <v>4.1999999999999993</v>
      </c>
      <c r="E34" s="13"/>
      <c r="F34" s="7"/>
      <c r="G34" s="357"/>
    </row>
    <row r="35" spans="1:7" ht="100" x14ac:dyDescent="0.85">
      <c r="A35" s="71">
        <v>13</v>
      </c>
      <c r="B35" s="14" t="s">
        <v>63</v>
      </c>
      <c r="C35" s="24" t="s">
        <v>64</v>
      </c>
      <c r="D35" s="7">
        <f>'Misc.Repairing Items'!I24</f>
        <v>60</v>
      </c>
      <c r="E35" s="13"/>
      <c r="F35" s="7"/>
      <c r="G35" s="357"/>
    </row>
    <row r="36" spans="1:7" x14ac:dyDescent="0.85">
      <c r="A36" s="71" t="s">
        <v>65</v>
      </c>
      <c r="B36" s="348" t="s">
        <v>66</v>
      </c>
      <c r="C36" s="10"/>
      <c r="D36" s="11"/>
      <c r="E36" s="35"/>
      <c r="F36" s="4"/>
      <c r="G36" s="351"/>
    </row>
    <row r="37" spans="1:7" ht="200" x14ac:dyDescent="0.85">
      <c r="A37" s="71">
        <f>A35+1</f>
        <v>14</v>
      </c>
      <c r="B37" s="15" t="s">
        <v>67</v>
      </c>
      <c r="C37" s="5" t="s">
        <v>41</v>
      </c>
      <c r="D37" s="26">
        <f>'Toll plaza Boundary'!I4</f>
        <v>150</v>
      </c>
      <c r="E37" s="38"/>
      <c r="F37" s="7"/>
      <c r="G37" s="358"/>
    </row>
    <row r="38" spans="1:7" ht="60" x14ac:dyDescent="0.85">
      <c r="A38" s="71">
        <f>A37+1</f>
        <v>15</v>
      </c>
      <c r="B38" s="16" t="s">
        <v>68</v>
      </c>
      <c r="C38" s="5" t="s">
        <v>41</v>
      </c>
      <c r="D38" s="26">
        <f>'Toll plaza Boundary'!I5</f>
        <v>50</v>
      </c>
      <c r="E38" s="5"/>
      <c r="F38" s="7"/>
      <c r="G38" s="358"/>
    </row>
    <row r="39" spans="1:7" ht="40" x14ac:dyDescent="0.85">
      <c r="A39" s="71">
        <f>A38+1</f>
        <v>16</v>
      </c>
      <c r="B39" s="17" t="s">
        <v>69</v>
      </c>
      <c r="C39" s="5" t="s">
        <v>41</v>
      </c>
      <c r="D39" s="26">
        <f>'Toll plaza Boundary'!I6</f>
        <v>140</v>
      </c>
      <c r="E39" s="5"/>
      <c r="F39" s="7"/>
      <c r="G39" s="358"/>
    </row>
    <row r="40" spans="1:7" x14ac:dyDescent="0.85">
      <c r="A40" s="67" t="s">
        <v>70</v>
      </c>
      <c r="B40" s="348" t="s">
        <v>71</v>
      </c>
      <c r="C40" s="10"/>
      <c r="D40" s="11"/>
      <c r="E40" s="35"/>
      <c r="F40" s="4"/>
      <c r="G40" s="351"/>
    </row>
    <row r="41" spans="1:7" ht="409.5" x14ac:dyDescent="0.85">
      <c r="A41" s="71">
        <f>A39+1</f>
        <v>17</v>
      </c>
      <c r="B41" s="66" t="s">
        <v>72</v>
      </c>
      <c r="C41" s="5" t="s">
        <v>56</v>
      </c>
      <c r="D41" s="26">
        <f>'MS Gates'!I19</f>
        <v>5712</v>
      </c>
      <c r="E41" s="38"/>
      <c r="F41" s="7"/>
      <c r="G41" s="359"/>
    </row>
    <row r="42" spans="1:7" x14ac:dyDescent="0.85">
      <c r="A42" s="67" t="s">
        <v>73</v>
      </c>
      <c r="B42" s="348" t="s">
        <v>74</v>
      </c>
      <c r="C42" s="10"/>
      <c r="D42" s="11"/>
      <c r="E42" s="35"/>
      <c r="F42" s="4"/>
      <c r="G42" s="351"/>
    </row>
    <row r="43" spans="1:7" ht="60" x14ac:dyDescent="0.85">
      <c r="A43" s="71">
        <f>A41+1</f>
        <v>18</v>
      </c>
      <c r="B43" s="58" t="s">
        <v>75</v>
      </c>
      <c r="C43" s="24" t="s">
        <v>12</v>
      </c>
      <c r="D43" s="7">
        <f>' Tiles '!I12</f>
        <v>263.35000000000002</v>
      </c>
      <c r="E43" s="24"/>
      <c r="F43" s="7"/>
      <c r="G43" s="357"/>
    </row>
    <row r="44" spans="1:7" ht="120" x14ac:dyDescent="0.85">
      <c r="A44" s="71">
        <f>A43+1</f>
        <v>19</v>
      </c>
      <c r="B44" s="1" t="s">
        <v>76</v>
      </c>
      <c r="C44" s="24" t="s">
        <v>12</v>
      </c>
      <c r="D44" s="7">
        <f>' Tiles '!I25</f>
        <v>197.096</v>
      </c>
      <c r="E44" s="24"/>
      <c r="F44" s="7"/>
      <c r="G44" s="357"/>
    </row>
    <row r="45" spans="1:7" ht="100" x14ac:dyDescent="0.85">
      <c r="A45" s="71">
        <f>A44+1</f>
        <v>20</v>
      </c>
      <c r="B45" s="2" t="s">
        <v>77</v>
      </c>
      <c r="C45" s="24" t="s">
        <v>12</v>
      </c>
      <c r="D45" s="7">
        <f>' Tiles '!I16</f>
        <v>222.44000000000003</v>
      </c>
      <c r="E45" s="24"/>
      <c r="F45" s="7"/>
      <c r="G45" s="357"/>
    </row>
    <row r="46" spans="1:7" ht="120" x14ac:dyDescent="0.85">
      <c r="A46" s="71">
        <f>A45+1</f>
        <v>21</v>
      </c>
      <c r="B46" s="9" t="s">
        <v>78</v>
      </c>
      <c r="C46" s="24" t="s">
        <v>12</v>
      </c>
      <c r="D46" s="7">
        <f>' Tiles '!I33</f>
        <v>5.7060000000000004</v>
      </c>
      <c r="E46" s="24"/>
      <c r="F46" s="7"/>
      <c r="G46" s="357"/>
    </row>
    <row r="47" spans="1:7" s="29" customFormat="1" x14ac:dyDescent="0.35">
      <c r="A47" s="67"/>
      <c r="B47" s="348" t="s">
        <v>79</v>
      </c>
      <c r="C47" s="35"/>
      <c r="D47" s="35"/>
      <c r="E47" s="35"/>
      <c r="F47" s="4"/>
      <c r="G47" s="351"/>
    </row>
    <row r="48" spans="1:7" ht="40" x14ac:dyDescent="0.85">
      <c r="A48" s="33">
        <f>A46+1</f>
        <v>22</v>
      </c>
      <c r="B48" s="1" t="s">
        <v>80</v>
      </c>
      <c r="C48" s="24" t="s">
        <v>81</v>
      </c>
      <c r="D48" s="19">
        <f>'Plumbing and Sanitary Items (2)'!I4</f>
        <v>8</v>
      </c>
      <c r="E48" s="13"/>
      <c r="F48" s="51"/>
      <c r="G48" s="357"/>
    </row>
    <row r="49" spans="1:256" ht="40" x14ac:dyDescent="0.85">
      <c r="A49" s="33">
        <f>A48+1</f>
        <v>23</v>
      </c>
      <c r="B49" s="1" t="s">
        <v>82</v>
      </c>
      <c r="C49" s="24" t="s">
        <v>81</v>
      </c>
      <c r="D49" s="19">
        <f>'Plumbing and Sanitary Items (2)'!I5</f>
        <v>7</v>
      </c>
      <c r="E49" s="13"/>
      <c r="F49" s="51"/>
      <c r="G49" s="357"/>
    </row>
    <row r="50" spans="1:256" ht="60" x14ac:dyDescent="0.85">
      <c r="A50" s="33">
        <f t="shared" ref="A50:A61" si="0">A49+1</f>
        <v>24</v>
      </c>
      <c r="B50" s="28" t="s">
        <v>83</v>
      </c>
      <c r="C50" s="24" t="s">
        <v>81</v>
      </c>
      <c r="D50" s="19">
        <f>'Plumbing and Sanitary Items (2)'!I6</f>
        <v>7</v>
      </c>
      <c r="E50" s="13"/>
      <c r="F50" s="51"/>
      <c r="G50" s="357"/>
    </row>
    <row r="51" spans="1:256" x14ac:dyDescent="0.85">
      <c r="A51" s="33">
        <f t="shared" si="0"/>
        <v>25</v>
      </c>
      <c r="B51" s="9" t="s">
        <v>84</v>
      </c>
      <c r="C51" s="24" t="s">
        <v>81</v>
      </c>
      <c r="D51" s="19">
        <f>'Plumbing and Sanitary Items (2)'!I7</f>
        <v>15</v>
      </c>
      <c r="E51" s="13"/>
      <c r="F51" s="51"/>
      <c r="G51" s="357"/>
    </row>
    <row r="52" spans="1:256" x14ac:dyDescent="0.85">
      <c r="A52" s="33">
        <f t="shared" si="0"/>
        <v>26</v>
      </c>
      <c r="B52" s="36" t="s">
        <v>85</v>
      </c>
      <c r="C52" s="24" t="s">
        <v>81</v>
      </c>
      <c r="D52" s="19">
        <f>'Plumbing and Sanitary Items (2)'!I8</f>
        <v>10</v>
      </c>
      <c r="E52" s="13"/>
      <c r="F52" s="51"/>
      <c r="G52" s="357"/>
    </row>
    <row r="53" spans="1:256" x14ac:dyDescent="0.85">
      <c r="A53" s="33">
        <f t="shared" si="0"/>
        <v>27</v>
      </c>
      <c r="B53" s="36" t="s">
        <v>86</v>
      </c>
      <c r="C53" s="24" t="s">
        <v>81</v>
      </c>
      <c r="D53" s="19">
        <f>'Plumbing and Sanitary Items (2)'!I9</f>
        <v>3</v>
      </c>
      <c r="E53" s="13"/>
      <c r="F53" s="51"/>
      <c r="G53" s="357"/>
    </row>
    <row r="54" spans="1:256" x14ac:dyDescent="0.85">
      <c r="A54" s="33">
        <f t="shared" si="0"/>
        <v>28</v>
      </c>
      <c r="B54" s="9" t="s">
        <v>87</v>
      </c>
      <c r="C54" s="24" t="s">
        <v>81</v>
      </c>
      <c r="D54" s="19">
        <f>'Plumbing and Sanitary Items (2)'!I10</f>
        <v>3</v>
      </c>
      <c r="E54" s="13"/>
      <c r="F54" s="51"/>
      <c r="G54" s="357"/>
    </row>
    <row r="55" spans="1:256" x14ac:dyDescent="0.85">
      <c r="A55" s="33">
        <f t="shared" si="0"/>
        <v>29</v>
      </c>
      <c r="B55" s="9" t="s">
        <v>88</v>
      </c>
      <c r="C55" s="24" t="s">
        <v>81</v>
      </c>
      <c r="D55" s="19">
        <f>'Plumbing and Sanitary Items (2)'!I11</f>
        <v>3</v>
      </c>
      <c r="E55" s="13"/>
      <c r="F55" s="51"/>
      <c r="G55" s="357"/>
    </row>
    <row r="56" spans="1:256" x14ac:dyDescent="0.85">
      <c r="A56" s="33">
        <f t="shared" si="0"/>
        <v>30</v>
      </c>
      <c r="B56" s="9" t="s">
        <v>89</v>
      </c>
      <c r="C56" s="24" t="s">
        <v>20</v>
      </c>
      <c r="D56" s="19">
        <f>'Plumbing and Sanitary Items (2)'!I12</f>
        <v>50</v>
      </c>
      <c r="E56" s="13"/>
      <c r="F56" s="51"/>
      <c r="G56" s="357"/>
    </row>
    <row r="57" spans="1:256" x14ac:dyDescent="0.85">
      <c r="A57" s="33">
        <f t="shared" si="0"/>
        <v>31</v>
      </c>
      <c r="B57" s="9" t="s">
        <v>90</v>
      </c>
      <c r="C57" s="24" t="s">
        <v>20</v>
      </c>
      <c r="D57" s="19">
        <f>'Plumbing and Sanitary Items (2)'!I13</f>
        <v>50</v>
      </c>
      <c r="E57" s="13"/>
      <c r="F57" s="51"/>
      <c r="G57" s="357"/>
    </row>
    <row r="58" spans="1:256" ht="86.5" x14ac:dyDescent="0.85">
      <c r="A58" s="33">
        <f t="shared" si="0"/>
        <v>32</v>
      </c>
      <c r="B58" s="62" t="s">
        <v>91</v>
      </c>
      <c r="C58" s="24" t="s">
        <v>92</v>
      </c>
      <c r="D58" s="19">
        <f>'Plumbing and Sanitary Items (2)'!I14</f>
        <v>56</v>
      </c>
      <c r="E58" s="13"/>
      <c r="F58" s="64"/>
      <c r="G58" s="357"/>
    </row>
    <row r="59" spans="1:256" ht="40" x14ac:dyDescent="0.85">
      <c r="A59" s="33">
        <f t="shared" si="0"/>
        <v>33</v>
      </c>
      <c r="B59" s="59" t="s">
        <v>93</v>
      </c>
      <c r="C59" s="23" t="s">
        <v>94</v>
      </c>
      <c r="D59" s="60">
        <v>1</v>
      </c>
      <c r="E59" s="63"/>
      <c r="F59" s="64"/>
      <c r="G59" s="360"/>
    </row>
    <row r="60" spans="1:256" ht="80" x14ac:dyDescent="0.85">
      <c r="A60" s="33">
        <f t="shared" si="0"/>
        <v>34</v>
      </c>
      <c r="B60" s="9" t="s">
        <v>95</v>
      </c>
      <c r="C60" s="55" t="s">
        <v>92</v>
      </c>
      <c r="D60" s="24">
        <v>100</v>
      </c>
      <c r="E60" s="13"/>
      <c r="F60" s="64"/>
      <c r="G60" s="357"/>
    </row>
    <row r="61" spans="1:256" ht="80" x14ac:dyDescent="0.85">
      <c r="A61" s="33">
        <f t="shared" si="0"/>
        <v>35</v>
      </c>
      <c r="B61" s="9" t="s">
        <v>96</v>
      </c>
      <c r="C61" s="24" t="s">
        <v>92</v>
      </c>
      <c r="D61" s="19">
        <f>'Plumbing and Sanitary Items (2)'!I17</f>
        <v>18</v>
      </c>
      <c r="E61" s="13"/>
      <c r="F61" s="64"/>
      <c r="G61" s="357"/>
    </row>
    <row r="62" spans="1:256" x14ac:dyDescent="0.85">
      <c r="A62" s="67"/>
      <c r="B62" s="348" t="s">
        <v>97</v>
      </c>
      <c r="C62" s="35"/>
      <c r="D62" s="35"/>
      <c r="E62" s="35"/>
      <c r="F62" s="4"/>
      <c r="G62" s="351"/>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M62" s="29"/>
      <c r="EN62" s="29"/>
      <c r="EO62" s="29"/>
      <c r="EP62" s="29"/>
      <c r="EQ62" s="29"/>
      <c r="ER62" s="29"/>
      <c r="ES62" s="29"/>
      <c r="ET62" s="29"/>
      <c r="EU62" s="29"/>
      <c r="EV62" s="29"/>
      <c r="EW62" s="29"/>
      <c r="EX62" s="29"/>
      <c r="EY62" s="29"/>
      <c r="EZ62" s="29"/>
      <c r="FA62" s="29"/>
      <c r="FB62" s="29"/>
      <c r="FC62" s="29"/>
      <c r="FD62" s="29"/>
      <c r="FE62" s="29"/>
      <c r="FF62" s="29"/>
      <c r="FG62" s="29"/>
      <c r="FH62" s="29"/>
      <c r="FI62" s="29"/>
      <c r="FJ62" s="29"/>
      <c r="FK62" s="29"/>
      <c r="FL62" s="29"/>
      <c r="FM62" s="29"/>
      <c r="FN62" s="29"/>
      <c r="FO62" s="29"/>
      <c r="FP62" s="29"/>
      <c r="FQ62" s="29"/>
      <c r="FR62" s="29"/>
      <c r="FS62" s="29"/>
      <c r="FT62" s="29"/>
      <c r="FU62" s="29"/>
      <c r="FV62" s="29"/>
      <c r="FW62" s="29"/>
      <c r="FX62" s="29"/>
      <c r="FY62" s="29"/>
      <c r="FZ62" s="29"/>
      <c r="GA62" s="29"/>
      <c r="GB62" s="29"/>
      <c r="GC62" s="29"/>
      <c r="GD62" s="29"/>
      <c r="GE62" s="29"/>
      <c r="GF62" s="29"/>
      <c r="GG62" s="29"/>
      <c r="GH62" s="29"/>
      <c r="GI62" s="29"/>
      <c r="GJ62" s="29"/>
      <c r="GK62" s="29"/>
      <c r="GL62" s="29"/>
      <c r="GM62" s="29"/>
      <c r="GN62" s="29"/>
      <c r="GO62" s="29"/>
      <c r="GP62" s="29"/>
      <c r="GQ62" s="29"/>
      <c r="GR62" s="29"/>
      <c r="GS62" s="29"/>
      <c r="GT62" s="29"/>
      <c r="GU62" s="29"/>
      <c r="GV62" s="29"/>
      <c r="GW62" s="29"/>
      <c r="GX62" s="29"/>
      <c r="GY62" s="29"/>
      <c r="GZ62" s="29"/>
      <c r="HA62" s="29"/>
      <c r="HB62" s="29"/>
      <c r="HC62" s="29"/>
      <c r="HD62" s="29"/>
      <c r="HE62" s="29"/>
      <c r="HF62" s="29"/>
      <c r="HG62" s="29"/>
      <c r="HH62" s="29"/>
      <c r="HI62" s="29"/>
      <c r="HJ62" s="29"/>
      <c r="HK62" s="29"/>
      <c r="HL62" s="29"/>
      <c r="HM62" s="29"/>
      <c r="HN62" s="29"/>
      <c r="HO62" s="29"/>
      <c r="HP62" s="29"/>
      <c r="HQ62" s="29"/>
      <c r="HR62" s="29"/>
      <c r="HS62" s="29"/>
      <c r="HT62" s="29"/>
      <c r="HU62" s="29"/>
      <c r="HV62" s="29"/>
      <c r="HW62" s="29"/>
      <c r="HX62" s="29"/>
      <c r="HY62" s="29"/>
      <c r="HZ62" s="29"/>
      <c r="IA62" s="29"/>
      <c r="IB62" s="29"/>
      <c r="IC62" s="29"/>
      <c r="ID62" s="29"/>
      <c r="IE62" s="29"/>
      <c r="IF62" s="29"/>
      <c r="IG62" s="29"/>
      <c r="IH62" s="29"/>
      <c r="II62" s="29"/>
      <c r="IJ62" s="29"/>
      <c r="IK62" s="29"/>
      <c r="IL62" s="29"/>
      <c r="IM62" s="29"/>
      <c r="IN62" s="29"/>
      <c r="IO62" s="29"/>
      <c r="IP62" s="29"/>
      <c r="IQ62" s="29"/>
      <c r="IR62" s="29"/>
      <c r="IS62" s="29"/>
      <c r="IT62" s="29"/>
      <c r="IU62" s="29"/>
      <c r="IV62" s="29"/>
    </row>
    <row r="63" spans="1:256" ht="60" x14ac:dyDescent="0.85">
      <c r="A63" s="71">
        <v>1</v>
      </c>
      <c r="B63" s="21" t="s">
        <v>98</v>
      </c>
      <c r="C63" s="12"/>
      <c r="D63" s="12"/>
      <c r="E63" s="12"/>
      <c r="F63" s="61"/>
      <c r="G63" s="361"/>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row>
    <row r="64" spans="1:256" x14ac:dyDescent="0.85">
      <c r="A64" s="37" t="s">
        <v>99</v>
      </c>
      <c r="B64" s="1" t="s">
        <v>100</v>
      </c>
      <c r="C64" s="24" t="s">
        <v>81</v>
      </c>
      <c r="D64" s="6">
        <f>'Elec. First Floor'!J5+'Elec. Ground Floor'!K3</f>
        <v>66</v>
      </c>
      <c r="E64" s="13"/>
      <c r="F64" s="64"/>
      <c r="G64" s="354"/>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c r="IJ64" s="3"/>
      <c r="IK64" s="3"/>
      <c r="IL64" s="3"/>
      <c r="IM64" s="3"/>
      <c r="IN64" s="3"/>
      <c r="IO64" s="3"/>
      <c r="IP64" s="3"/>
      <c r="IQ64" s="3"/>
      <c r="IR64" s="3"/>
      <c r="IS64" s="3"/>
      <c r="IT64" s="3"/>
      <c r="IU64" s="3"/>
      <c r="IV64" s="3"/>
    </row>
    <row r="65" spans="1:256" x14ac:dyDescent="0.85">
      <c r="A65" s="37" t="s">
        <v>101</v>
      </c>
      <c r="B65" s="1" t="s">
        <v>102</v>
      </c>
      <c r="C65" s="24" t="s">
        <v>81</v>
      </c>
      <c r="D65" s="6">
        <f>'Elec. First Floor'!J6+'Elec. Ground Floor'!K4</f>
        <v>10</v>
      </c>
      <c r="E65" s="13"/>
      <c r="F65" s="64"/>
      <c r="G65" s="354"/>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c r="HF65" s="3"/>
      <c r="HG65" s="3"/>
      <c r="HH65" s="3"/>
      <c r="HI65" s="3"/>
      <c r="HJ65" s="3"/>
      <c r="HK65" s="3"/>
      <c r="HL65" s="3"/>
      <c r="HM65" s="3"/>
      <c r="HN65" s="3"/>
      <c r="HO65" s="3"/>
      <c r="HP65" s="3"/>
      <c r="HQ65" s="3"/>
      <c r="HR65" s="3"/>
      <c r="HS65" s="3"/>
      <c r="HT65" s="3"/>
      <c r="HU65" s="3"/>
      <c r="HV65" s="3"/>
      <c r="HW65" s="3"/>
      <c r="HX65" s="3"/>
      <c r="HY65" s="3"/>
      <c r="HZ65" s="3"/>
      <c r="IA65" s="3"/>
      <c r="IB65" s="3"/>
      <c r="IC65" s="3"/>
      <c r="ID65" s="3"/>
      <c r="IE65" s="3"/>
      <c r="IF65" s="3"/>
      <c r="IG65" s="3"/>
      <c r="IH65" s="3"/>
      <c r="II65" s="3"/>
      <c r="IJ65" s="3"/>
      <c r="IK65" s="3"/>
      <c r="IL65" s="3"/>
      <c r="IM65" s="3"/>
      <c r="IN65" s="3"/>
      <c r="IO65" s="3"/>
      <c r="IP65" s="3"/>
      <c r="IQ65" s="3"/>
      <c r="IR65" s="3"/>
      <c r="IS65" s="3"/>
      <c r="IT65" s="3"/>
      <c r="IU65" s="3"/>
      <c r="IV65" s="3"/>
    </row>
    <row r="66" spans="1:256" x14ac:dyDescent="0.85">
      <c r="A66" s="37" t="s">
        <v>103</v>
      </c>
      <c r="B66" s="1" t="s">
        <v>104</v>
      </c>
      <c r="C66" s="24" t="s">
        <v>81</v>
      </c>
      <c r="D66" s="6">
        <f>'Elec. First Floor'!J9+'Elec. Ground Floor'!K7</f>
        <v>6</v>
      </c>
      <c r="E66" s="13"/>
      <c r="F66" s="64"/>
      <c r="G66" s="354"/>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c r="IA66" s="3"/>
      <c r="IB66" s="3"/>
      <c r="IC66" s="3"/>
      <c r="ID66" s="3"/>
      <c r="IE66" s="3"/>
      <c r="IF66" s="3"/>
      <c r="IG66" s="3"/>
      <c r="IH66" s="3"/>
      <c r="II66" s="3"/>
      <c r="IJ66" s="3"/>
      <c r="IK66" s="3"/>
      <c r="IL66" s="3"/>
      <c r="IM66" s="3"/>
      <c r="IN66" s="3"/>
      <c r="IO66" s="3"/>
      <c r="IP66" s="3"/>
      <c r="IQ66" s="3"/>
      <c r="IR66" s="3"/>
      <c r="IS66" s="3"/>
      <c r="IT66" s="3"/>
      <c r="IU66" s="3"/>
      <c r="IV66" s="3"/>
    </row>
    <row r="67" spans="1:256" x14ac:dyDescent="0.85">
      <c r="A67" s="37" t="s">
        <v>105</v>
      </c>
      <c r="B67" s="1" t="s">
        <v>106</v>
      </c>
      <c r="C67" s="24" t="s">
        <v>81</v>
      </c>
      <c r="D67" s="6">
        <f>'Elec. First Floor'!J10+'Elec. Ground Floor'!K8</f>
        <v>4</v>
      </c>
      <c r="E67" s="13"/>
      <c r="F67" s="64"/>
      <c r="G67" s="354"/>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c r="IF67" s="3"/>
      <c r="IG67" s="3"/>
      <c r="IH67" s="3"/>
      <c r="II67" s="3"/>
      <c r="IJ67" s="3"/>
      <c r="IK67" s="3"/>
      <c r="IL67" s="3"/>
      <c r="IM67" s="3"/>
      <c r="IN67" s="3"/>
      <c r="IO67" s="3"/>
      <c r="IP67" s="3"/>
      <c r="IQ67" s="3"/>
      <c r="IR67" s="3"/>
      <c r="IS67" s="3"/>
      <c r="IT67" s="3"/>
      <c r="IU67" s="3"/>
      <c r="IV67" s="3"/>
    </row>
    <row r="68" spans="1:256" x14ac:dyDescent="0.85">
      <c r="A68" s="37" t="s">
        <v>107</v>
      </c>
      <c r="B68" s="1" t="s">
        <v>108</v>
      </c>
      <c r="C68" s="24" t="s">
        <v>81</v>
      </c>
      <c r="D68" s="6">
        <f>'Elec. First Floor'!J11+'Elec. Ground Floor'!K9</f>
        <v>15</v>
      </c>
      <c r="E68" s="13"/>
      <c r="F68" s="64"/>
      <c r="G68" s="354"/>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c r="IU68" s="3"/>
      <c r="IV68" s="3"/>
    </row>
    <row r="69" spans="1:256" x14ac:dyDescent="0.85">
      <c r="A69" s="37" t="s">
        <v>109</v>
      </c>
      <c r="B69" s="1" t="s">
        <v>110</v>
      </c>
      <c r="C69" s="24" t="s">
        <v>81</v>
      </c>
      <c r="D69" s="6">
        <f>'Elec. First Floor'!J12+'Elec. Ground Floor'!K10</f>
        <v>9</v>
      </c>
      <c r="E69" s="13"/>
      <c r="F69" s="64"/>
      <c r="G69" s="354"/>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c r="IF69" s="3"/>
      <c r="IG69" s="3"/>
      <c r="IH69" s="3"/>
      <c r="II69" s="3"/>
      <c r="IJ69" s="3"/>
      <c r="IK69" s="3"/>
      <c r="IL69" s="3"/>
      <c r="IM69" s="3"/>
      <c r="IN69" s="3"/>
      <c r="IO69" s="3"/>
      <c r="IP69" s="3"/>
      <c r="IQ69" s="3"/>
      <c r="IR69" s="3"/>
      <c r="IS69" s="3"/>
      <c r="IT69" s="3"/>
      <c r="IU69" s="3"/>
      <c r="IV69" s="3"/>
    </row>
    <row r="70" spans="1:256" x14ac:dyDescent="0.85">
      <c r="A70" s="37" t="s">
        <v>111</v>
      </c>
      <c r="B70" s="1" t="s">
        <v>112</v>
      </c>
      <c r="C70" s="24" t="s">
        <v>81</v>
      </c>
      <c r="D70" s="6">
        <f>'Elec. First Floor'!J13+'Elec. Ground Floor'!K11</f>
        <v>34</v>
      </c>
      <c r="E70" s="13"/>
      <c r="F70" s="64"/>
      <c r="G70" s="354"/>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c r="IA70" s="3"/>
      <c r="IB70" s="3"/>
      <c r="IC70" s="3"/>
      <c r="ID70" s="3"/>
      <c r="IE70" s="3"/>
      <c r="IF70" s="3"/>
      <c r="IG70" s="3"/>
      <c r="IH70" s="3"/>
      <c r="II70" s="3"/>
      <c r="IJ70" s="3"/>
      <c r="IK70" s="3"/>
      <c r="IL70" s="3"/>
      <c r="IM70" s="3"/>
      <c r="IN70" s="3"/>
      <c r="IO70" s="3"/>
      <c r="IP70" s="3"/>
      <c r="IQ70" s="3"/>
      <c r="IR70" s="3"/>
      <c r="IS70" s="3"/>
      <c r="IT70" s="3"/>
      <c r="IU70" s="3"/>
      <c r="IV70" s="3"/>
    </row>
    <row r="71" spans="1:256" x14ac:dyDescent="0.85">
      <c r="A71" s="37" t="s">
        <v>113</v>
      </c>
      <c r="B71" s="1" t="s">
        <v>114</v>
      </c>
      <c r="C71" s="24" t="s">
        <v>81</v>
      </c>
      <c r="D71" s="6">
        <f>'Elec. First Floor'!J14+'Elec. Ground Floor'!K12</f>
        <v>23</v>
      </c>
      <c r="E71" s="13"/>
      <c r="F71" s="64"/>
      <c r="G71" s="354"/>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c r="HU71" s="3"/>
      <c r="HV71" s="3"/>
      <c r="HW71" s="3"/>
      <c r="HX71" s="3"/>
      <c r="HY71" s="3"/>
      <c r="HZ71" s="3"/>
      <c r="IA71" s="3"/>
      <c r="IB71" s="3"/>
      <c r="IC71" s="3"/>
      <c r="ID71" s="3"/>
      <c r="IE71" s="3"/>
      <c r="IF71" s="3"/>
      <c r="IG71" s="3"/>
      <c r="IH71" s="3"/>
      <c r="II71" s="3"/>
      <c r="IJ71" s="3"/>
      <c r="IK71" s="3"/>
      <c r="IL71" s="3"/>
      <c r="IM71" s="3"/>
      <c r="IN71" s="3"/>
      <c r="IO71" s="3"/>
      <c r="IP71" s="3"/>
      <c r="IQ71" s="3"/>
      <c r="IR71" s="3"/>
      <c r="IS71" s="3"/>
      <c r="IT71" s="3"/>
      <c r="IU71" s="3"/>
      <c r="IV71" s="3"/>
    </row>
    <row r="72" spans="1:256" x14ac:dyDescent="0.85">
      <c r="A72" s="37" t="s">
        <v>115</v>
      </c>
      <c r="B72" s="1" t="s">
        <v>116</v>
      </c>
      <c r="C72" s="24" t="s">
        <v>81</v>
      </c>
      <c r="D72" s="6">
        <f>'Elec. First Floor'!J15+'Elec. Ground Floor'!K13</f>
        <v>29</v>
      </c>
      <c r="E72" s="13"/>
      <c r="F72" s="64"/>
      <c r="G72" s="354"/>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c r="IG72" s="3"/>
      <c r="IH72" s="3"/>
      <c r="II72" s="3"/>
      <c r="IJ72" s="3"/>
      <c r="IK72" s="3"/>
      <c r="IL72" s="3"/>
      <c r="IM72" s="3"/>
      <c r="IN72" s="3"/>
      <c r="IO72" s="3"/>
      <c r="IP72" s="3"/>
      <c r="IQ72" s="3"/>
      <c r="IR72" s="3"/>
      <c r="IS72" s="3"/>
      <c r="IT72" s="3"/>
      <c r="IU72" s="3"/>
      <c r="IV72" s="3"/>
    </row>
    <row r="73" spans="1:256" x14ac:dyDescent="0.85">
      <c r="A73" s="37" t="s">
        <v>117</v>
      </c>
      <c r="B73" s="1" t="s">
        <v>118</v>
      </c>
      <c r="C73" s="24" t="s">
        <v>81</v>
      </c>
      <c r="D73" s="6">
        <f>'Elec. First Floor'!J16+'Elec. Ground Floor'!K14</f>
        <v>78</v>
      </c>
      <c r="E73" s="13"/>
      <c r="F73" s="64"/>
      <c r="G73" s="354"/>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c r="HT73" s="3"/>
      <c r="HU73" s="3"/>
      <c r="HV73" s="3"/>
      <c r="HW73" s="3"/>
      <c r="HX73" s="3"/>
      <c r="HY73" s="3"/>
      <c r="HZ73" s="3"/>
      <c r="IA73" s="3"/>
      <c r="IB73" s="3"/>
      <c r="IC73" s="3"/>
      <c r="ID73" s="3"/>
      <c r="IE73" s="3"/>
      <c r="IF73" s="3"/>
      <c r="IG73" s="3"/>
      <c r="IH73" s="3"/>
      <c r="II73" s="3"/>
      <c r="IJ73" s="3"/>
      <c r="IK73" s="3"/>
      <c r="IL73" s="3"/>
      <c r="IM73" s="3"/>
      <c r="IN73" s="3"/>
      <c r="IO73" s="3"/>
      <c r="IP73" s="3"/>
      <c r="IQ73" s="3"/>
      <c r="IR73" s="3"/>
      <c r="IS73" s="3"/>
      <c r="IT73" s="3"/>
      <c r="IU73" s="3"/>
      <c r="IV73" s="3"/>
    </row>
    <row r="74" spans="1:256" x14ac:dyDescent="0.85">
      <c r="A74" s="37" t="s">
        <v>119</v>
      </c>
      <c r="B74" s="1" t="s">
        <v>120</v>
      </c>
      <c r="C74" s="24" t="s">
        <v>81</v>
      </c>
      <c r="D74" s="6">
        <f>'Elec. First Floor'!J17+'Elec. Ground Floor'!K15</f>
        <v>16</v>
      </c>
      <c r="E74" s="13"/>
      <c r="F74" s="64"/>
      <c r="G74" s="354"/>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c r="HF74" s="3"/>
      <c r="HG74" s="3"/>
      <c r="HH74" s="3"/>
      <c r="HI74" s="3"/>
      <c r="HJ74" s="3"/>
      <c r="HK74" s="3"/>
      <c r="HL74" s="3"/>
      <c r="HM74" s="3"/>
      <c r="HN74" s="3"/>
      <c r="HO74" s="3"/>
      <c r="HP74" s="3"/>
      <c r="HQ74" s="3"/>
      <c r="HR74" s="3"/>
      <c r="HS74" s="3"/>
      <c r="HT74" s="3"/>
      <c r="HU74" s="3"/>
      <c r="HV74" s="3"/>
      <c r="HW74" s="3"/>
      <c r="HX74" s="3"/>
      <c r="HY74" s="3"/>
      <c r="HZ74" s="3"/>
      <c r="IA74" s="3"/>
      <c r="IB74" s="3"/>
      <c r="IC74" s="3"/>
      <c r="ID74" s="3"/>
      <c r="IE74" s="3"/>
      <c r="IF74" s="3"/>
      <c r="IG74" s="3"/>
      <c r="IH74" s="3"/>
      <c r="II74" s="3"/>
      <c r="IJ74" s="3"/>
      <c r="IK74" s="3"/>
      <c r="IL74" s="3"/>
      <c r="IM74" s="3"/>
      <c r="IN74" s="3"/>
      <c r="IO74" s="3"/>
      <c r="IP74" s="3"/>
      <c r="IQ74" s="3"/>
      <c r="IR74" s="3"/>
      <c r="IS74" s="3"/>
      <c r="IT74" s="3"/>
      <c r="IU74" s="3"/>
      <c r="IV74" s="3"/>
    </row>
    <row r="75" spans="1:256" x14ac:dyDescent="0.85">
      <c r="A75" s="37" t="s">
        <v>121</v>
      </c>
      <c r="B75" s="1" t="s">
        <v>122</v>
      </c>
      <c r="C75" s="24" t="s">
        <v>81</v>
      </c>
      <c r="D75" s="6">
        <f>'Elec. First Floor'!J18+'Elec. Ground Floor'!K16</f>
        <v>19</v>
      </c>
      <c r="E75" s="13"/>
      <c r="F75" s="64"/>
      <c r="G75" s="354"/>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c r="HV75" s="3"/>
      <c r="HW75" s="3"/>
      <c r="HX75" s="3"/>
      <c r="HY75" s="3"/>
      <c r="HZ75" s="3"/>
      <c r="IA75" s="3"/>
      <c r="IB75" s="3"/>
      <c r="IC75" s="3"/>
      <c r="ID75" s="3"/>
      <c r="IE75" s="3"/>
      <c r="IF75" s="3"/>
      <c r="IG75" s="3"/>
      <c r="IH75" s="3"/>
      <c r="II75" s="3"/>
      <c r="IJ75" s="3"/>
      <c r="IK75" s="3"/>
      <c r="IL75" s="3"/>
      <c r="IM75" s="3"/>
      <c r="IN75" s="3"/>
      <c r="IO75" s="3"/>
      <c r="IP75" s="3"/>
      <c r="IQ75" s="3"/>
      <c r="IR75" s="3"/>
      <c r="IS75" s="3"/>
      <c r="IT75" s="3"/>
      <c r="IU75" s="3"/>
      <c r="IV75" s="3"/>
    </row>
    <row r="76" spans="1:256" x14ac:dyDescent="0.85">
      <c r="A76" s="37" t="s">
        <v>123</v>
      </c>
      <c r="B76" s="1" t="s">
        <v>124</v>
      </c>
      <c r="C76" s="24" t="s">
        <v>81</v>
      </c>
      <c r="D76" s="6">
        <f ca="1">'Elec. First Floor'!J20+'Elec. Ground Floor'!K18</f>
        <v>3</v>
      </c>
      <c r="E76" s="13"/>
      <c r="F76" s="64"/>
      <c r="G76" s="354"/>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c r="HV76" s="3"/>
      <c r="HW76" s="3"/>
      <c r="HX76" s="3"/>
      <c r="HY76" s="3"/>
      <c r="HZ76" s="3"/>
      <c r="IA76" s="3"/>
      <c r="IB76" s="3"/>
      <c r="IC76" s="3"/>
      <c r="ID76" s="3"/>
      <c r="IE76" s="3"/>
      <c r="IF76" s="3"/>
      <c r="IG76" s="3"/>
      <c r="IH76" s="3"/>
      <c r="II76" s="3"/>
      <c r="IJ76" s="3"/>
      <c r="IK76" s="3"/>
      <c r="IL76" s="3"/>
      <c r="IM76" s="3"/>
      <c r="IN76" s="3"/>
      <c r="IO76" s="3"/>
      <c r="IP76" s="3"/>
      <c r="IQ76" s="3"/>
      <c r="IR76" s="3"/>
      <c r="IS76" s="3"/>
      <c r="IT76" s="3"/>
      <c r="IU76" s="3"/>
      <c r="IV76" s="3"/>
    </row>
    <row r="77" spans="1:256" x14ac:dyDescent="0.85">
      <c r="A77" s="37" t="s">
        <v>125</v>
      </c>
      <c r="B77" s="1" t="s">
        <v>126</v>
      </c>
      <c r="C77" s="24" t="s">
        <v>81</v>
      </c>
      <c r="D77" s="6">
        <f>'Elec. First Floor'!J21+'Elec. Ground Floor'!K19</f>
        <v>16</v>
      </c>
      <c r="E77" s="13"/>
      <c r="F77" s="64"/>
      <c r="G77" s="354"/>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c r="HI77" s="3"/>
      <c r="HJ77" s="3"/>
      <c r="HK77" s="3"/>
      <c r="HL77" s="3"/>
      <c r="HM77" s="3"/>
      <c r="HN77" s="3"/>
      <c r="HO77" s="3"/>
      <c r="HP77" s="3"/>
      <c r="HQ77" s="3"/>
      <c r="HR77" s="3"/>
      <c r="HS77" s="3"/>
      <c r="HT77" s="3"/>
      <c r="HU77" s="3"/>
      <c r="HV77" s="3"/>
      <c r="HW77" s="3"/>
      <c r="HX77" s="3"/>
      <c r="HY77" s="3"/>
      <c r="HZ77" s="3"/>
      <c r="IA77" s="3"/>
      <c r="IB77" s="3"/>
      <c r="IC77" s="3"/>
      <c r="ID77" s="3"/>
      <c r="IE77" s="3"/>
      <c r="IF77" s="3"/>
      <c r="IG77" s="3"/>
      <c r="IH77" s="3"/>
      <c r="II77" s="3"/>
      <c r="IJ77" s="3"/>
      <c r="IK77" s="3"/>
      <c r="IL77" s="3"/>
      <c r="IM77" s="3"/>
      <c r="IN77" s="3"/>
      <c r="IO77" s="3"/>
      <c r="IP77" s="3"/>
      <c r="IQ77" s="3"/>
      <c r="IR77" s="3"/>
      <c r="IS77" s="3"/>
      <c r="IT77" s="3"/>
      <c r="IU77" s="3"/>
      <c r="IV77" s="3"/>
    </row>
    <row r="78" spans="1:256" x14ac:dyDescent="0.85">
      <c r="A78" s="37" t="s">
        <v>127</v>
      </c>
      <c r="B78" s="1" t="s">
        <v>128</v>
      </c>
      <c r="C78" s="24" t="s">
        <v>81</v>
      </c>
      <c r="D78" s="6">
        <f>'Elec. First Floor'!J22+'Elec. Ground Floor'!K20</f>
        <v>11</v>
      </c>
      <c r="E78" s="13"/>
      <c r="F78" s="64"/>
      <c r="G78" s="354"/>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c r="HI78" s="3"/>
      <c r="HJ78" s="3"/>
      <c r="HK78" s="3"/>
      <c r="HL78" s="3"/>
      <c r="HM78" s="3"/>
      <c r="HN78" s="3"/>
      <c r="HO78" s="3"/>
      <c r="HP78" s="3"/>
      <c r="HQ78" s="3"/>
      <c r="HR78" s="3"/>
      <c r="HS78" s="3"/>
      <c r="HT78" s="3"/>
      <c r="HU78" s="3"/>
      <c r="HV78" s="3"/>
      <c r="HW78" s="3"/>
      <c r="HX78" s="3"/>
      <c r="HY78" s="3"/>
      <c r="HZ78" s="3"/>
      <c r="IA78" s="3"/>
      <c r="IB78" s="3"/>
      <c r="IC78" s="3"/>
      <c r="ID78" s="3"/>
      <c r="IE78" s="3"/>
      <c r="IF78" s="3"/>
      <c r="IG78" s="3"/>
      <c r="IH78" s="3"/>
      <c r="II78" s="3"/>
      <c r="IJ78" s="3"/>
      <c r="IK78" s="3"/>
      <c r="IL78" s="3"/>
      <c r="IM78" s="3"/>
      <c r="IN78" s="3"/>
      <c r="IO78" s="3"/>
      <c r="IP78" s="3"/>
      <c r="IQ78" s="3"/>
      <c r="IR78" s="3"/>
      <c r="IS78" s="3"/>
      <c r="IT78" s="3"/>
      <c r="IU78" s="3"/>
      <c r="IV78" s="3"/>
    </row>
    <row r="79" spans="1:256" x14ac:dyDescent="0.85">
      <c r="A79" s="37" t="s">
        <v>129</v>
      </c>
      <c r="B79" s="1" t="s">
        <v>130</v>
      </c>
      <c r="C79" s="24" t="s">
        <v>81</v>
      </c>
      <c r="D79" s="6">
        <f>'Elec. First Floor'!J22+'Elec. Ground Floor'!K20</f>
        <v>11</v>
      </c>
      <c r="E79" s="13"/>
      <c r="F79" s="64"/>
      <c r="G79" s="354"/>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c r="HH79" s="3"/>
      <c r="HI79" s="3"/>
      <c r="HJ79" s="3"/>
      <c r="HK79" s="3"/>
      <c r="HL79" s="3"/>
      <c r="HM79" s="3"/>
      <c r="HN79" s="3"/>
      <c r="HO79" s="3"/>
      <c r="HP79" s="3"/>
      <c r="HQ79" s="3"/>
      <c r="HR79" s="3"/>
      <c r="HS79" s="3"/>
      <c r="HT79" s="3"/>
      <c r="HU79" s="3"/>
      <c r="HV79" s="3"/>
      <c r="HW79" s="3"/>
      <c r="HX79" s="3"/>
      <c r="HY79" s="3"/>
      <c r="HZ79" s="3"/>
      <c r="IA79" s="3"/>
      <c r="IB79" s="3"/>
      <c r="IC79" s="3"/>
      <c r="ID79" s="3"/>
      <c r="IE79" s="3"/>
      <c r="IF79" s="3"/>
      <c r="IG79" s="3"/>
      <c r="IH79" s="3"/>
      <c r="II79" s="3"/>
      <c r="IJ79" s="3"/>
      <c r="IK79" s="3"/>
      <c r="IL79" s="3"/>
      <c r="IM79" s="3"/>
      <c r="IN79" s="3"/>
      <c r="IO79" s="3"/>
      <c r="IP79" s="3"/>
      <c r="IQ79" s="3"/>
      <c r="IR79" s="3"/>
      <c r="IS79" s="3"/>
      <c r="IT79" s="3"/>
      <c r="IU79" s="3"/>
      <c r="IV79" s="3"/>
    </row>
    <row r="80" spans="1:256" x14ac:dyDescent="0.85">
      <c r="A80" s="37" t="s">
        <v>131</v>
      </c>
      <c r="B80" s="1" t="s">
        <v>132</v>
      </c>
      <c r="C80" s="24" t="s">
        <v>81</v>
      </c>
      <c r="D80" s="6">
        <f>'Elec. First Floor'!J23+'Elec. Ground Floor'!K21</f>
        <v>26</v>
      </c>
      <c r="E80" s="13"/>
      <c r="F80" s="64"/>
      <c r="G80" s="354" t="s">
        <v>133</v>
      </c>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c r="HF80" s="3"/>
      <c r="HG80" s="3"/>
      <c r="HH80" s="3"/>
      <c r="HI80" s="3"/>
      <c r="HJ80" s="3"/>
      <c r="HK80" s="3"/>
      <c r="HL80" s="3"/>
      <c r="HM80" s="3"/>
      <c r="HN80" s="3"/>
      <c r="HO80" s="3"/>
      <c r="HP80" s="3"/>
      <c r="HQ80" s="3"/>
      <c r="HR80" s="3"/>
      <c r="HS80" s="3"/>
      <c r="HT80" s="3"/>
      <c r="HU80" s="3"/>
      <c r="HV80" s="3"/>
      <c r="HW80" s="3"/>
      <c r="HX80" s="3"/>
      <c r="HY80" s="3"/>
      <c r="HZ80" s="3"/>
      <c r="IA80" s="3"/>
      <c r="IB80" s="3"/>
      <c r="IC80" s="3"/>
      <c r="ID80" s="3"/>
      <c r="IE80" s="3"/>
      <c r="IF80" s="3"/>
      <c r="IG80" s="3"/>
      <c r="IH80" s="3"/>
      <c r="II80" s="3"/>
      <c r="IJ80" s="3"/>
      <c r="IK80" s="3"/>
      <c r="IL80" s="3"/>
      <c r="IM80" s="3"/>
      <c r="IN80" s="3"/>
      <c r="IO80" s="3"/>
      <c r="IP80" s="3"/>
      <c r="IQ80" s="3"/>
      <c r="IR80" s="3"/>
      <c r="IS80" s="3"/>
      <c r="IT80" s="3"/>
      <c r="IU80" s="3"/>
      <c r="IV80" s="3"/>
    </row>
    <row r="81" spans="1:256" x14ac:dyDescent="0.85">
      <c r="A81" s="37" t="s">
        <v>134</v>
      </c>
      <c r="B81" s="1" t="s">
        <v>135</v>
      </c>
      <c r="C81" s="24" t="s">
        <v>81</v>
      </c>
      <c r="D81" s="6">
        <f ca="1">'Elec. First Floor'!J25+'Elec. Ground Floor'!K22</f>
        <v>10</v>
      </c>
      <c r="E81" s="13"/>
      <c r="F81" s="64"/>
      <c r="G81" s="354"/>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c r="HF81" s="3"/>
      <c r="HG81" s="3"/>
      <c r="HH81" s="3"/>
      <c r="HI81" s="3"/>
      <c r="HJ81" s="3"/>
      <c r="HK81" s="3"/>
      <c r="HL81" s="3"/>
      <c r="HM81" s="3"/>
      <c r="HN81" s="3"/>
      <c r="HO81" s="3"/>
      <c r="HP81" s="3"/>
      <c r="HQ81" s="3"/>
      <c r="HR81" s="3"/>
      <c r="HS81" s="3"/>
      <c r="HT81" s="3"/>
      <c r="HU81" s="3"/>
      <c r="HV81" s="3"/>
      <c r="HW81" s="3"/>
      <c r="HX81" s="3"/>
      <c r="HY81" s="3"/>
      <c r="HZ81" s="3"/>
      <c r="IA81" s="3"/>
      <c r="IB81" s="3"/>
      <c r="IC81" s="3"/>
      <c r="ID81" s="3"/>
      <c r="IE81" s="3"/>
      <c r="IF81" s="3"/>
      <c r="IG81" s="3"/>
      <c r="IH81" s="3"/>
      <c r="II81" s="3"/>
      <c r="IJ81" s="3"/>
      <c r="IK81" s="3"/>
      <c r="IL81" s="3"/>
      <c r="IM81" s="3"/>
      <c r="IN81" s="3"/>
      <c r="IO81" s="3"/>
      <c r="IP81" s="3"/>
      <c r="IQ81" s="3"/>
      <c r="IR81" s="3"/>
      <c r="IS81" s="3"/>
      <c r="IT81" s="3"/>
      <c r="IU81" s="3"/>
      <c r="IV81" s="3"/>
    </row>
    <row r="82" spans="1:256" x14ac:dyDescent="0.85">
      <c r="A82" s="37" t="s">
        <v>136</v>
      </c>
      <c r="B82" s="1" t="s">
        <v>137</v>
      </c>
      <c r="C82" s="24" t="s">
        <v>92</v>
      </c>
      <c r="D82" s="6">
        <f>'Elec. First Floor'!J26+'Elec. Ground Floor'!K23</f>
        <v>50</v>
      </c>
      <c r="E82" s="13"/>
      <c r="F82" s="64"/>
      <c r="G82" s="354"/>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c r="IF82" s="3"/>
      <c r="IG82" s="3"/>
      <c r="IH82" s="3"/>
      <c r="II82" s="3"/>
      <c r="IJ82" s="3"/>
      <c r="IK82" s="3"/>
      <c r="IL82" s="3"/>
      <c r="IM82" s="3"/>
      <c r="IN82" s="3"/>
      <c r="IO82" s="3"/>
      <c r="IP82" s="3"/>
      <c r="IQ82" s="3"/>
      <c r="IR82" s="3"/>
      <c r="IS82" s="3"/>
      <c r="IT82" s="3"/>
      <c r="IU82" s="3"/>
      <c r="IV82" s="3"/>
    </row>
    <row r="83" spans="1:256" x14ac:dyDescent="0.85">
      <c r="A83" s="37" t="s">
        <v>138</v>
      </c>
      <c r="B83" s="1" t="s">
        <v>139</v>
      </c>
      <c r="C83" s="24" t="s">
        <v>81</v>
      </c>
      <c r="D83" s="6">
        <f>'Elec. First Floor'!J27+'Elec. Ground Floor'!K26</f>
        <v>6</v>
      </c>
      <c r="E83" s="13"/>
      <c r="F83" s="13"/>
      <c r="G83" s="354"/>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c r="HH83" s="3"/>
      <c r="HI83" s="3"/>
      <c r="HJ83" s="3"/>
      <c r="HK83" s="3"/>
      <c r="HL83" s="3"/>
      <c r="HM83" s="3"/>
      <c r="HN83" s="3"/>
      <c r="HO83" s="3"/>
      <c r="HP83" s="3"/>
      <c r="HQ83" s="3"/>
      <c r="HR83" s="3"/>
      <c r="HS83" s="3"/>
      <c r="HT83" s="3"/>
      <c r="HU83" s="3"/>
      <c r="HV83" s="3"/>
      <c r="HW83" s="3"/>
      <c r="HX83" s="3"/>
      <c r="HY83" s="3"/>
      <c r="HZ83" s="3"/>
      <c r="IA83" s="3"/>
      <c r="IB83" s="3"/>
      <c r="IC83" s="3"/>
      <c r="ID83" s="3"/>
      <c r="IE83" s="3"/>
      <c r="IF83" s="3"/>
      <c r="IG83" s="3"/>
      <c r="IH83" s="3"/>
      <c r="II83" s="3"/>
      <c r="IJ83" s="3"/>
      <c r="IK83" s="3"/>
      <c r="IL83" s="3"/>
      <c r="IM83" s="3"/>
      <c r="IN83" s="3"/>
      <c r="IO83" s="3"/>
      <c r="IP83" s="3"/>
      <c r="IQ83" s="3"/>
      <c r="IR83" s="3"/>
      <c r="IS83" s="3"/>
      <c r="IT83" s="3"/>
      <c r="IU83" s="3"/>
      <c r="IV83" s="3"/>
    </row>
    <row r="84" spans="1:256" x14ac:dyDescent="0.85">
      <c r="A84" s="37" t="s">
        <v>140</v>
      </c>
      <c r="B84" s="1" t="s">
        <v>141</v>
      </c>
      <c r="C84" s="24" t="s">
        <v>81</v>
      </c>
      <c r="D84" s="6">
        <f>'Elec. First Floor'!J28+'Elec. Ground Floor'!K27</f>
        <v>12</v>
      </c>
      <c r="E84" s="13"/>
      <c r="F84" s="13"/>
      <c r="G84" s="354"/>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x14ac:dyDescent="0.85">
      <c r="A85" s="37" t="s">
        <v>142</v>
      </c>
      <c r="B85" s="1" t="s">
        <v>143</v>
      </c>
      <c r="C85" s="24" t="s">
        <v>81</v>
      </c>
      <c r="D85" s="65">
        <f ca="1">'Elec. Ground Floor'!K25</f>
        <v>4</v>
      </c>
      <c r="E85" s="13"/>
      <c r="F85" s="13"/>
      <c r="G85" s="354"/>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c r="HI85" s="3"/>
      <c r="HJ85" s="3"/>
      <c r="HK85" s="3"/>
      <c r="HL85" s="3"/>
      <c r="HM85" s="3"/>
      <c r="HN85" s="3"/>
      <c r="HO85" s="3"/>
      <c r="HP85" s="3"/>
      <c r="HQ85" s="3"/>
      <c r="HR85" s="3"/>
      <c r="HS85" s="3"/>
      <c r="HT85" s="3"/>
      <c r="HU85" s="3"/>
      <c r="HV85" s="3"/>
      <c r="HW85" s="3"/>
      <c r="HX85" s="3"/>
      <c r="HY85" s="3"/>
      <c r="HZ85" s="3"/>
      <c r="IA85" s="3"/>
      <c r="IB85" s="3"/>
      <c r="IC85" s="3"/>
      <c r="ID85" s="3"/>
      <c r="IE85" s="3"/>
      <c r="IF85" s="3"/>
      <c r="IG85" s="3"/>
      <c r="IH85" s="3"/>
      <c r="II85" s="3"/>
      <c r="IJ85" s="3"/>
      <c r="IK85" s="3"/>
      <c r="IL85" s="3"/>
      <c r="IM85" s="3"/>
      <c r="IN85" s="3"/>
      <c r="IO85" s="3"/>
      <c r="IP85" s="3"/>
      <c r="IQ85" s="3"/>
      <c r="IR85" s="3"/>
      <c r="IS85" s="3"/>
      <c r="IT85" s="3"/>
      <c r="IU85" s="3"/>
      <c r="IV85" s="3"/>
    </row>
    <row r="86" spans="1:256" x14ac:dyDescent="0.85">
      <c r="A86" s="37" t="s">
        <v>144</v>
      </c>
      <c r="B86" s="1" t="s">
        <v>145</v>
      </c>
      <c r="C86" s="24" t="s">
        <v>81</v>
      </c>
      <c r="D86" s="6">
        <f>'Elec. First Floor'!J7+'Elec. Ground Floor'!K5</f>
        <v>46</v>
      </c>
      <c r="E86" s="13"/>
      <c r="F86" s="13"/>
      <c r="G86" s="354"/>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c r="HI86" s="3"/>
      <c r="HJ86" s="3"/>
      <c r="HK86" s="3"/>
      <c r="HL86" s="3"/>
      <c r="HM86" s="3"/>
      <c r="HN86" s="3"/>
      <c r="HO86" s="3"/>
      <c r="HP86" s="3"/>
      <c r="HQ86" s="3"/>
      <c r="HR86" s="3"/>
      <c r="HS86" s="3"/>
      <c r="HT86" s="3"/>
      <c r="HU86" s="3"/>
      <c r="HV86" s="3"/>
      <c r="HW86" s="3"/>
      <c r="HX86" s="3"/>
      <c r="HY86" s="3"/>
      <c r="HZ86" s="3"/>
      <c r="IA86" s="3"/>
      <c r="IB86" s="3"/>
      <c r="IC86" s="3"/>
      <c r="ID86" s="3"/>
      <c r="IE86" s="3"/>
      <c r="IF86" s="3"/>
      <c r="IG86" s="3"/>
      <c r="IH86" s="3"/>
      <c r="II86" s="3"/>
      <c r="IJ86" s="3"/>
      <c r="IK86" s="3"/>
      <c r="IL86" s="3"/>
      <c r="IM86" s="3"/>
      <c r="IN86" s="3"/>
      <c r="IO86" s="3"/>
      <c r="IP86" s="3"/>
      <c r="IQ86" s="3"/>
      <c r="IR86" s="3"/>
      <c r="IS86" s="3"/>
      <c r="IT86" s="3"/>
      <c r="IU86" s="3"/>
      <c r="IV86" s="3"/>
    </row>
    <row r="87" spans="1:256" x14ac:dyDescent="0.85">
      <c r="A87" s="37" t="s">
        <v>146</v>
      </c>
      <c r="B87" s="1" t="s">
        <v>147</v>
      </c>
      <c r="C87" s="24" t="s">
        <v>81</v>
      </c>
      <c r="D87" s="6">
        <f>'Elec. First Floor'!J8+'Elec. Ground Floor'!K6</f>
        <v>10</v>
      </c>
      <c r="E87" s="13"/>
      <c r="F87" s="13"/>
      <c r="G87" s="354"/>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c r="IF87" s="3"/>
      <c r="IG87" s="3"/>
      <c r="IH87" s="3"/>
      <c r="II87" s="3"/>
      <c r="IJ87" s="3"/>
      <c r="IK87" s="3"/>
      <c r="IL87" s="3"/>
      <c r="IM87" s="3"/>
      <c r="IN87" s="3"/>
      <c r="IO87" s="3"/>
      <c r="IP87" s="3"/>
      <c r="IQ87" s="3"/>
      <c r="IR87" s="3"/>
      <c r="IS87" s="3"/>
      <c r="IT87" s="3"/>
      <c r="IU87" s="3"/>
      <c r="IV87" s="3"/>
    </row>
    <row r="88" spans="1:256" ht="40" x14ac:dyDescent="0.85">
      <c r="A88" s="72" t="s">
        <v>148</v>
      </c>
      <c r="B88" s="1" t="s">
        <v>149</v>
      </c>
      <c r="C88" s="24" t="s">
        <v>81</v>
      </c>
      <c r="D88" s="6">
        <f>'Elec. First Floor'!J29</f>
        <v>3</v>
      </c>
      <c r="E88" s="13"/>
      <c r="F88" s="13"/>
      <c r="G88" s="354" t="s">
        <v>150</v>
      </c>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c r="HF88" s="3"/>
      <c r="HG88" s="3"/>
      <c r="HH88" s="3"/>
      <c r="HI88" s="3"/>
      <c r="HJ88" s="3"/>
      <c r="HK88" s="3"/>
      <c r="HL88" s="3"/>
      <c r="HM88" s="3"/>
      <c r="HN88" s="3"/>
      <c r="HO88" s="3"/>
      <c r="HP88" s="3"/>
      <c r="HQ88" s="3"/>
      <c r="HR88" s="3"/>
      <c r="HS88" s="3"/>
      <c r="HT88" s="3"/>
      <c r="HU88" s="3"/>
      <c r="HV88" s="3"/>
      <c r="HW88" s="3"/>
      <c r="HX88" s="3"/>
      <c r="HY88" s="3"/>
      <c r="HZ88" s="3"/>
      <c r="IA88" s="3"/>
      <c r="IB88" s="3"/>
      <c r="IC88" s="3"/>
      <c r="ID88" s="3"/>
      <c r="IE88" s="3"/>
      <c r="IF88" s="3"/>
      <c r="IG88" s="3"/>
      <c r="IH88" s="3"/>
      <c r="II88" s="3"/>
      <c r="IJ88" s="3"/>
      <c r="IK88" s="3"/>
      <c r="IL88" s="3"/>
      <c r="IM88" s="3"/>
      <c r="IN88" s="3"/>
      <c r="IO88" s="3"/>
      <c r="IP88" s="3"/>
      <c r="IQ88" s="3"/>
      <c r="IR88" s="3"/>
      <c r="IS88" s="3"/>
      <c r="IT88" s="3"/>
      <c r="IU88" s="3"/>
      <c r="IV88" s="3"/>
    </row>
    <row r="89" spans="1:256" ht="40" x14ac:dyDescent="0.85">
      <c r="A89" s="37" t="s">
        <v>151</v>
      </c>
      <c r="B89" s="1" t="s">
        <v>152</v>
      </c>
      <c r="C89" s="24" t="s">
        <v>81</v>
      </c>
      <c r="D89" s="6">
        <f>'Elec. First Floor'!J30</f>
        <v>4</v>
      </c>
      <c r="E89" s="13"/>
      <c r="F89" s="13"/>
      <c r="G89" s="354" t="s">
        <v>150</v>
      </c>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c r="HF89" s="3"/>
      <c r="HG89" s="3"/>
      <c r="HH89" s="3"/>
      <c r="HI89" s="3"/>
      <c r="HJ89" s="3"/>
      <c r="HK89" s="3"/>
      <c r="HL89" s="3"/>
      <c r="HM89" s="3"/>
      <c r="HN89" s="3"/>
      <c r="HO89" s="3"/>
      <c r="HP89" s="3"/>
      <c r="HQ89" s="3"/>
      <c r="HR89" s="3"/>
      <c r="HS89" s="3"/>
      <c r="HT89" s="3"/>
      <c r="HU89" s="3"/>
      <c r="HV89" s="3"/>
      <c r="HW89" s="3"/>
      <c r="HX89" s="3"/>
      <c r="HY89" s="3"/>
      <c r="HZ89" s="3"/>
      <c r="IA89" s="3"/>
      <c r="IB89" s="3"/>
      <c r="IC89" s="3"/>
      <c r="ID89" s="3"/>
      <c r="IE89" s="3"/>
      <c r="IF89" s="3"/>
      <c r="IG89" s="3"/>
      <c r="IH89" s="3"/>
      <c r="II89" s="3"/>
      <c r="IJ89" s="3"/>
      <c r="IK89" s="3"/>
      <c r="IL89" s="3"/>
      <c r="IM89" s="3"/>
      <c r="IN89" s="3"/>
      <c r="IO89" s="3"/>
      <c r="IP89" s="3"/>
      <c r="IQ89" s="3"/>
      <c r="IR89" s="3"/>
      <c r="IS89" s="3"/>
      <c r="IT89" s="3"/>
      <c r="IU89" s="3"/>
      <c r="IV89" s="3"/>
    </row>
    <row r="90" spans="1:256" ht="100" x14ac:dyDescent="0.85">
      <c r="A90" s="37" t="s">
        <v>153</v>
      </c>
      <c r="B90" s="1" t="s">
        <v>154</v>
      </c>
      <c r="C90" s="24" t="s">
        <v>92</v>
      </c>
      <c r="D90" s="6">
        <f>'Elec. First Floor'!J31</f>
        <v>30</v>
      </c>
      <c r="E90" s="13"/>
      <c r="F90" s="13"/>
      <c r="G90" s="354"/>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c r="HF90" s="3"/>
      <c r="HG90" s="3"/>
      <c r="HH90" s="3"/>
      <c r="HI90" s="3"/>
      <c r="HJ90" s="3"/>
      <c r="HK90" s="3"/>
      <c r="HL90" s="3"/>
      <c r="HM90" s="3"/>
      <c r="HN90" s="3"/>
      <c r="HO90" s="3"/>
      <c r="HP90" s="3"/>
      <c r="HQ90" s="3"/>
      <c r="HR90" s="3"/>
      <c r="HS90" s="3"/>
      <c r="HT90" s="3"/>
      <c r="HU90" s="3"/>
      <c r="HV90" s="3"/>
      <c r="HW90" s="3"/>
      <c r="HX90" s="3"/>
      <c r="HY90" s="3"/>
      <c r="HZ90" s="3"/>
      <c r="IA90" s="3"/>
      <c r="IB90" s="3"/>
      <c r="IC90" s="3"/>
      <c r="ID90" s="3"/>
      <c r="IE90" s="3"/>
      <c r="IF90" s="3"/>
      <c r="IG90" s="3"/>
      <c r="IH90" s="3"/>
      <c r="II90" s="3"/>
      <c r="IJ90" s="3"/>
      <c r="IK90" s="3"/>
      <c r="IL90" s="3"/>
      <c r="IM90" s="3"/>
      <c r="IN90" s="3"/>
      <c r="IO90" s="3"/>
      <c r="IP90" s="3"/>
      <c r="IQ90" s="3"/>
      <c r="IR90" s="3"/>
      <c r="IS90" s="3"/>
      <c r="IT90" s="3"/>
      <c r="IU90" s="3"/>
      <c r="IV90" s="3"/>
    </row>
    <row r="91" spans="1:256" ht="100.5" thickBot="1" x14ac:dyDescent="0.9">
      <c r="A91" s="37" t="s">
        <v>155</v>
      </c>
      <c r="B91" s="1" t="s">
        <v>156</v>
      </c>
      <c r="C91" s="24" t="s">
        <v>92</v>
      </c>
      <c r="D91" s="309">
        <f>'Elec. First Floor'!J32</f>
        <v>30</v>
      </c>
      <c r="E91" s="314"/>
      <c r="F91" s="63"/>
      <c r="G91" s="354"/>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c r="HF91" s="3"/>
      <c r="HG91" s="3"/>
      <c r="HH91" s="3"/>
      <c r="HI91" s="3"/>
      <c r="HJ91" s="3"/>
      <c r="HK91" s="3"/>
      <c r="HL91" s="3"/>
      <c r="HM91" s="3"/>
      <c r="HN91" s="3"/>
      <c r="HO91" s="3"/>
      <c r="HP91" s="3"/>
      <c r="HQ91" s="3"/>
      <c r="HR91" s="3"/>
      <c r="HS91" s="3"/>
      <c r="HT91" s="3"/>
      <c r="HU91" s="3"/>
      <c r="HV91" s="3"/>
      <c r="HW91" s="3"/>
      <c r="HX91" s="3"/>
      <c r="HY91" s="3"/>
      <c r="HZ91" s="3"/>
      <c r="IA91" s="3"/>
      <c r="IB91" s="3"/>
      <c r="IC91" s="3"/>
      <c r="ID91" s="3"/>
      <c r="IE91" s="3"/>
      <c r="IF91" s="3"/>
      <c r="IG91" s="3"/>
      <c r="IH91" s="3"/>
      <c r="II91" s="3"/>
      <c r="IJ91" s="3"/>
      <c r="IK91" s="3"/>
      <c r="IL91" s="3"/>
      <c r="IM91" s="3"/>
      <c r="IN91" s="3"/>
      <c r="IO91" s="3"/>
      <c r="IP91" s="3"/>
      <c r="IQ91" s="3"/>
      <c r="IR91" s="3"/>
      <c r="IS91" s="3"/>
      <c r="IT91" s="3"/>
      <c r="IU91" s="3"/>
      <c r="IV91" s="3"/>
    </row>
    <row r="92" spans="1:256" ht="20.5" thickBot="1" x14ac:dyDescent="0.9">
      <c r="A92" s="73"/>
      <c r="D92" s="310"/>
      <c r="E92" s="311"/>
      <c r="F92" s="312"/>
      <c r="G92" s="362"/>
    </row>
    <row r="93" spans="1:256" ht="20.5" thickBot="1" x14ac:dyDescent="0.9">
      <c r="A93" s="32"/>
      <c r="B93" s="350"/>
      <c r="C93" s="31"/>
      <c r="D93" s="74"/>
      <c r="E93" s="30"/>
      <c r="F93" s="75"/>
      <c r="G93" s="363"/>
    </row>
  </sheetData>
  <mergeCells count="2">
    <mergeCell ref="A1:G1"/>
    <mergeCell ref="A2:G2"/>
  </mergeCells>
  <printOptions horizontalCentered="1"/>
  <pageMargins left="0.25" right="0.25" top="0.75" bottom="0.75" header="0.3" footer="0.3"/>
  <pageSetup paperSize="9" scale="5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D5481-D4C3-4C62-843D-5D7D539D86C1}">
  <sheetPr>
    <tabColor rgb="FF002060"/>
  </sheetPr>
  <dimension ref="A1:U209"/>
  <sheetViews>
    <sheetView view="pageBreakPreview" zoomScale="60" zoomScaleNormal="70" workbookViewId="0">
      <pane xSplit="1" ySplit="3" topLeftCell="B201" activePane="bottomRight" state="frozen"/>
      <selection pane="topRight" activeCell="D9" sqref="D9"/>
      <selection pane="bottomLeft" activeCell="D9" sqref="D9"/>
      <selection pane="bottomRight" activeCell="L22" sqref="L22"/>
    </sheetView>
  </sheetViews>
  <sheetFormatPr defaultColWidth="8.6328125" defaultRowHeight="17" x14ac:dyDescent="0.7"/>
  <cols>
    <col min="1" max="1" width="5.36328125" style="151" bestFit="1" customWidth="1"/>
    <col min="2" max="2" width="38" style="76" bestFit="1" customWidth="1"/>
    <col min="3" max="4" width="9.36328125" style="90" customWidth="1"/>
    <col min="5" max="5" width="6.453125" style="90" customWidth="1"/>
    <col min="6" max="6" width="12.36328125" style="90" customWidth="1"/>
    <col min="7" max="7" width="10.6328125" style="90" customWidth="1"/>
    <col min="8" max="8" width="12.36328125" style="90" customWidth="1"/>
    <col min="9" max="9" width="11.54296875" style="90" customWidth="1"/>
    <col min="10" max="10" width="13.36328125" style="76" customWidth="1"/>
    <col min="11" max="11" width="4.6328125" style="76" customWidth="1"/>
    <col min="12" max="12" width="5.36328125" style="151" bestFit="1" customWidth="1"/>
    <col min="13" max="13" width="37" style="76" customWidth="1"/>
    <col min="14" max="16" width="8.6328125" style="76"/>
    <col min="17" max="20" width="11.54296875" style="76" customWidth="1"/>
    <col min="21" max="21" width="16.6328125" style="76" bestFit="1" customWidth="1"/>
    <col min="22" max="16384" width="8.6328125" style="76"/>
  </cols>
  <sheetData>
    <row r="1" spans="1:21" x14ac:dyDescent="0.7">
      <c r="A1" s="401" t="s">
        <v>263</v>
      </c>
      <c r="B1" s="391"/>
      <c r="C1" s="391"/>
      <c r="D1" s="391"/>
      <c r="E1" s="391"/>
      <c r="F1" s="391"/>
      <c r="G1" s="391"/>
      <c r="H1" s="391"/>
      <c r="I1" s="391"/>
      <c r="J1" s="392"/>
      <c r="L1" s="401" t="s">
        <v>264</v>
      </c>
      <c r="M1" s="391"/>
      <c r="N1" s="391"/>
      <c r="O1" s="391"/>
      <c r="P1" s="391"/>
      <c r="Q1" s="391"/>
      <c r="R1" s="391"/>
      <c r="S1" s="391"/>
      <c r="T1" s="391"/>
      <c r="U1" s="392"/>
    </row>
    <row r="2" spans="1:21" s="77" customFormat="1" x14ac:dyDescent="0.35">
      <c r="A2" s="378" t="s">
        <v>2</v>
      </c>
      <c r="B2" s="380" t="s">
        <v>158</v>
      </c>
      <c r="C2" s="380" t="s">
        <v>159</v>
      </c>
      <c r="D2" s="380" t="s">
        <v>160</v>
      </c>
      <c r="E2" s="380" t="s">
        <v>22</v>
      </c>
      <c r="F2" s="380" t="s">
        <v>161</v>
      </c>
      <c r="G2" s="380"/>
      <c r="H2" s="380"/>
      <c r="I2" s="374" t="s">
        <v>5</v>
      </c>
      <c r="J2" s="376" t="s">
        <v>8</v>
      </c>
      <c r="L2" s="378" t="s">
        <v>2</v>
      </c>
      <c r="M2" s="380" t="s">
        <v>158</v>
      </c>
      <c r="N2" s="380" t="s">
        <v>159</v>
      </c>
      <c r="O2" s="380" t="s">
        <v>160</v>
      </c>
      <c r="P2" s="380" t="s">
        <v>22</v>
      </c>
      <c r="Q2" s="380" t="s">
        <v>161</v>
      </c>
      <c r="R2" s="380"/>
      <c r="S2" s="380"/>
      <c r="T2" s="374" t="s">
        <v>5</v>
      </c>
      <c r="U2" s="376" t="s">
        <v>8</v>
      </c>
    </row>
    <row r="3" spans="1:21" s="77" customFormat="1" x14ac:dyDescent="0.35">
      <c r="A3" s="378"/>
      <c r="B3" s="380"/>
      <c r="C3" s="380"/>
      <c r="D3" s="380"/>
      <c r="E3" s="380"/>
      <c r="F3" s="324" t="s">
        <v>162</v>
      </c>
      <c r="G3" s="324" t="s">
        <v>163</v>
      </c>
      <c r="H3" s="324" t="s">
        <v>164</v>
      </c>
      <c r="I3" s="374"/>
      <c r="J3" s="376"/>
      <c r="L3" s="378"/>
      <c r="M3" s="380"/>
      <c r="N3" s="380"/>
      <c r="O3" s="380"/>
      <c r="P3" s="380"/>
      <c r="Q3" s="324" t="s">
        <v>162</v>
      </c>
      <c r="R3" s="324" t="s">
        <v>163</v>
      </c>
      <c r="S3" s="324" t="s">
        <v>164</v>
      </c>
      <c r="T3" s="374"/>
      <c r="U3" s="376"/>
    </row>
    <row r="4" spans="1:21" s="77" customFormat="1" x14ac:dyDescent="0.7">
      <c r="A4" s="322" t="s">
        <v>176</v>
      </c>
      <c r="B4" s="152" t="s">
        <v>177</v>
      </c>
      <c r="C4" s="324"/>
      <c r="D4" s="324"/>
      <c r="E4" s="324"/>
      <c r="F4" s="324"/>
      <c r="G4" s="324"/>
      <c r="H4" s="324"/>
      <c r="I4" s="320"/>
      <c r="J4" s="321"/>
      <c r="L4" s="322" t="s">
        <v>176</v>
      </c>
      <c r="M4" s="183" t="s">
        <v>265</v>
      </c>
      <c r="N4" s="324"/>
      <c r="O4" s="324"/>
      <c r="P4" s="324"/>
      <c r="Q4" s="324"/>
      <c r="R4" s="324"/>
      <c r="S4" s="324"/>
      <c r="T4" s="320"/>
      <c r="U4" s="321"/>
    </row>
    <row r="5" spans="1:21" x14ac:dyDescent="0.7">
      <c r="A5" s="84">
        <v>1</v>
      </c>
      <c r="B5" s="109" t="s">
        <v>266</v>
      </c>
      <c r="C5" s="79"/>
      <c r="D5" s="79"/>
      <c r="E5" s="79"/>
      <c r="F5" s="79"/>
      <c r="G5" s="79"/>
      <c r="H5" s="79"/>
      <c r="I5" s="79"/>
      <c r="J5" s="80"/>
      <c r="L5" s="338">
        <v>1</v>
      </c>
      <c r="M5" s="162" t="s">
        <v>267</v>
      </c>
      <c r="N5" s="79" t="s">
        <v>12</v>
      </c>
      <c r="O5" s="79" t="s">
        <v>222</v>
      </c>
      <c r="P5" s="79">
        <v>2</v>
      </c>
      <c r="Q5" s="79">
        <v>12.1</v>
      </c>
      <c r="R5" s="79"/>
      <c r="S5" s="79">
        <v>7.5</v>
      </c>
      <c r="T5" s="79">
        <f t="shared" ref="T5:T14" si="0">PRODUCT(P5:S5)</f>
        <v>181.5</v>
      </c>
      <c r="U5" s="202"/>
    </row>
    <row r="6" spans="1:21" x14ac:dyDescent="0.7">
      <c r="A6" s="84"/>
      <c r="B6" s="81" t="s">
        <v>268</v>
      </c>
      <c r="C6" s="79" t="s">
        <v>12</v>
      </c>
      <c r="D6" s="79" t="s">
        <v>222</v>
      </c>
      <c r="E6" s="79">
        <v>1</v>
      </c>
      <c r="F6" s="79">
        <v>3.7</v>
      </c>
      <c r="G6" s="79"/>
      <c r="H6" s="79">
        <v>2.89</v>
      </c>
      <c r="I6" s="79">
        <f t="shared" ref="I6:I72" si="1">PRODUCT(E6:H6)</f>
        <v>10.693000000000001</v>
      </c>
      <c r="J6" s="80"/>
      <c r="L6" s="338">
        <v>2</v>
      </c>
      <c r="M6" s="162" t="s">
        <v>268</v>
      </c>
      <c r="N6" s="79" t="s">
        <v>12</v>
      </c>
      <c r="O6" s="79" t="s">
        <v>222</v>
      </c>
      <c r="P6" s="133">
        <v>2</v>
      </c>
      <c r="Q6" s="133">
        <v>15.5</v>
      </c>
      <c r="R6" s="133"/>
      <c r="S6" s="79">
        <v>7.5</v>
      </c>
      <c r="T6" s="79">
        <f t="shared" si="0"/>
        <v>232.5</v>
      </c>
      <c r="U6" s="202"/>
    </row>
    <row r="7" spans="1:21" x14ac:dyDescent="0.7">
      <c r="A7" s="84"/>
      <c r="B7" s="81" t="s">
        <v>267</v>
      </c>
      <c r="C7" s="79" t="s">
        <v>12</v>
      </c>
      <c r="D7" s="79" t="s">
        <v>222</v>
      </c>
      <c r="E7" s="79">
        <v>2</v>
      </c>
      <c r="F7" s="79">
        <v>5.9</v>
      </c>
      <c r="G7" s="79"/>
      <c r="H7" s="79">
        <v>2.89</v>
      </c>
      <c r="I7" s="79">
        <f t="shared" si="1"/>
        <v>34.102000000000004</v>
      </c>
      <c r="J7" s="80"/>
      <c r="L7" s="338">
        <v>3</v>
      </c>
      <c r="M7" s="159" t="s">
        <v>269</v>
      </c>
      <c r="N7" s="79" t="s">
        <v>12</v>
      </c>
      <c r="O7" s="79" t="s">
        <v>222</v>
      </c>
      <c r="P7" s="133">
        <v>2</v>
      </c>
      <c r="Q7" s="133">
        <v>1.2</v>
      </c>
      <c r="R7" s="133"/>
      <c r="S7" s="79">
        <v>13.4</v>
      </c>
      <c r="T7" s="79">
        <f t="shared" si="0"/>
        <v>32.159999999999997</v>
      </c>
      <c r="U7" s="202"/>
    </row>
    <row r="8" spans="1:21" x14ac:dyDescent="0.7">
      <c r="A8" s="84"/>
      <c r="B8" s="81" t="s">
        <v>270</v>
      </c>
      <c r="C8" s="79" t="s">
        <v>12</v>
      </c>
      <c r="D8" s="79" t="s">
        <v>222</v>
      </c>
      <c r="E8" s="79">
        <v>1</v>
      </c>
      <c r="F8" s="79">
        <v>3.76</v>
      </c>
      <c r="G8" s="79"/>
      <c r="H8" s="79">
        <f>0.29+0.25</f>
        <v>0.54</v>
      </c>
      <c r="I8" s="79">
        <f t="shared" si="1"/>
        <v>2.0304000000000002</v>
      </c>
      <c r="J8" s="80"/>
      <c r="L8" s="338">
        <v>4</v>
      </c>
      <c r="M8" s="159" t="s">
        <v>271</v>
      </c>
      <c r="N8" s="79" t="s">
        <v>12</v>
      </c>
      <c r="O8" s="79" t="s">
        <v>222</v>
      </c>
      <c r="P8" s="133">
        <v>-1</v>
      </c>
      <c r="Q8" s="133">
        <f>3.2+8.2</f>
        <v>11.399999999999999</v>
      </c>
      <c r="R8" s="133"/>
      <c r="S8" s="79">
        <v>3.4</v>
      </c>
      <c r="T8" s="79">
        <f t="shared" si="0"/>
        <v>-38.759999999999991</v>
      </c>
      <c r="U8" s="202"/>
    </row>
    <row r="9" spans="1:21" x14ac:dyDescent="0.7">
      <c r="A9" s="84"/>
      <c r="B9" s="81" t="s">
        <v>272</v>
      </c>
      <c r="C9" s="79" t="s">
        <v>12</v>
      </c>
      <c r="D9" s="79" t="s">
        <v>222</v>
      </c>
      <c r="E9" s="79">
        <v>1</v>
      </c>
      <c r="F9" s="79">
        <v>3.7</v>
      </c>
      <c r="G9" s="79"/>
      <c r="H9" s="79">
        <v>5.9</v>
      </c>
      <c r="I9" s="79">
        <f t="shared" si="1"/>
        <v>21.830000000000002</v>
      </c>
      <c r="J9" s="80"/>
      <c r="L9" s="338">
        <v>5</v>
      </c>
      <c r="M9" s="159" t="s">
        <v>273</v>
      </c>
      <c r="N9" s="79" t="s">
        <v>12</v>
      </c>
      <c r="O9" s="79" t="s">
        <v>222</v>
      </c>
      <c r="P9" s="133">
        <v>1</v>
      </c>
      <c r="Q9" s="133">
        <f>1.3*2+8.1</f>
        <v>10.7</v>
      </c>
      <c r="R9" s="133"/>
      <c r="S9" s="79">
        <v>1.2</v>
      </c>
      <c r="T9" s="79">
        <f t="shared" si="0"/>
        <v>12.839999999999998</v>
      </c>
      <c r="U9" s="202"/>
    </row>
    <row r="10" spans="1:21" x14ac:dyDescent="0.7">
      <c r="A10" s="84"/>
      <c r="B10" s="81" t="s">
        <v>274</v>
      </c>
      <c r="C10" s="79" t="s">
        <v>12</v>
      </c>
      <c r="D10" s="79" t="s">
        <v>222</v>
      </c>
      <c r="E10" s="79">
        <v>1</v>
      </c>
      <c r="F10" s="79">
        <v>2.48</v>
      </c>
      <c r="G10" s="79"/>
      <c r="H10" s="79">
        <v>1.49</v>
      </c>
      <c r="I10" s="79">
        <f t="shared" si="1"/>
        <v>3.6951999999999998</v>
      </c>
      <c r="J10" s="80"/>
      <c r="L10" s="338">
        <v>6</v>
      </c>
      <c r="M10" s="159" t="s">
        <v>275</v>
      </c>
      <c r="N10" s="79" t="s">
        <v>12</v>
      </c>
      <c r="O10" s="79" t="s">
        <v>222</v>
      </c>
      <c r="P10" s="133">
        <v>8</v>
      </c>
      <c r="Q10" s="133">
        <v>2</v>
      </c>
      <c r="R10" s="133"/>
      <c r="S10" s="79">
        <v>0.68</v>
      </c>
      <c r="T10" s="79">
        <f t="shared" si="0"/>
        <v>10.88</v>
      </c>
      <c r="U10" s="202"/>
    </row>
    <row r="11" spans="1:21" x14ac:dyDescent="0.7">
      <c r="A11" s="84"/>
      <c r="B11" s="81" t="s">
        <v>276</v>
      </c>
      <c r="C11" s="79" t="s">
        <v>12</v>
      </c>
      <c r="D11" s="79" t="s">
        <v>222</v>
      </c>
      <c r="E11" s="79">
        <v>-1</v>
      </c>
      <c r="F11" s="79">
        <v>0.9</v>
      </c>
      <c r="G11" s="79"/>
      <c r="H11" s="79">
        <v>2</v>
      </c>
      <c r="I11" s="79">
        <f t="shared" si="1"/>
        <v>-1.8</v>
      </c>
      <c r="J11" s="80"/>
      <c r="L11" s="338"/>
      <c r="M11" s="159"/>
      <c r="N11" s="79" t="s">
        <v>12</v>
      </c>
      <c r="O11" s="79" t="s">
        <v>222</v>
      </c>
      <c r="P11" s="133">
        <v>1</v>
      </c>
      <c r="Q11" s="133">
        <v>2.5</v>
      </c>
      <c r="R11" s="133"/>
      <c r="S11" s="79">
        <v>0.68</v>
      </c>
      <c r="T11" s="79">
        <f t="shared" si="0"/>
        <v>1.7000000000000002</v>
      </c>
      <c r="U11" s="202"/>
    </row>
    <row r="12" spans="1:21" x14ac:dyDescent="0.7">
      <c r="A12" s="84"/>
      <c r="B12" s="81" t="s">
        <v>277</v>
      </c>
      <c r="C12" s="79" t="s">
        <v>12</v>
      </c>
      <c r="D12" s="79" t="s">
        <v>222</v>
      </c>
      <c r="E12" s="79">
        <v>1</v>
      </c>
      <c r="F12" s="79">
        <v>5.93</v>
      </c>
      <c r="G12" s="79"/>
      <c r="H12" s="79">
        <v>2.7</v>
      </c>
      <c r="I12" s="79">
        <f t="shared" si="1"/>
        <v>16.010999999999999</v>
      </c>
      <c r="J12" s="80"/>
      <c r="L12" s="338"/>
      <c r="M12" s="159"/>
      <c r="N12" s="79" t="s">
        <v>12</v>
      </c>
      <c r="O12" s="79" t="s">
        <v>222</v>
      </c>
      <c r="P12" s="133">
        <v>1</v>
      </c>
      <c r="Q12" s="133">
        <v>5.5</v>
      </c>
      <c r="R12" s="133"/>
      <c r="S12" s="79">
        <v>0.68</v>
      </c>
      <c r="T12" s="79">
        <f t="shared" si="0"/>
        <v>3.74</v>
      </c>
      <c r="U12" s="202"/>
    </row>
    <row r="13" spans="1:21" x14ac:dyDescent="0.7">
      <c r="A13" s="84"/>
      <c r="B13" s="81" t="s">
        <v>278</v>
      </c>
      <c r="C13" s="79" t="s">
        <v>12</v>
      </c>
      <c r="D13" s="79" t="s">
        <v>222</v>
      </c>
      <c r="E13" s="79">
        <v>1</v>
      </c>
      <c r="F13" s="79">
        <v>5.93</v>
      </c>
      <c r="G13" s="79"/>
      <c r="H13" s="79">
        <f>(2.71+2.17)/2</f>
        <v>2.44</v>
      </c>
      <c r="I13" s="79">
        <f t="shared" si="1"/>
        <v>14.469199999999999</v>
      </c>
      <c r="J13" s="80"/>
      <c r="L13" s="338"/>
      <c r="M13" s="159"/>
      <c r="N13" s="79" t="s">
        <v>12</v>
      </c>
      <c r="O13" s="79" t="s">
        <v>222</v>
      </c>
      <c r="P13" s="133">
        <v>2</v>
      </c>
      <c r="Q13" s="133">
        <v>0.9</v>
      </c>
      <c r="R13" s="133"/>
      <c r="S13" s="79">
        <v>0.68</v>
      </c>
      <c r="T13" s="79">
        <f t="shared" si="0"/>
        <v>1.2240000000000002</v>
      </c>
      <c r="U13" s="202"/>
    </row>
    <row r="14" spans="1:21" x14ac:dyDescent="0.7">
      <c r="A14" s="84"/>
      <c r="B14" s="81" t="s">
        <v>279</v>
      </c>
      <c r="C14" s="79" t="s">
        <v>12</v>
      </c>
      <c r="D14" s="79" t="s">
        <v>222</v>
      </c>
      <c r="E14" s="79">
        <v>1</v>
      </c>
      <c r="F14" s="79">
        <v>2.17</v>
      </c>
      <c r="G14" s="79"/>
      <c r="H14" s="79">
        <v>2.7</v>
      </c>
      <c r="I14" s="79">
        <f t="shared" si="1"/>
        <v>5.859</v>
      </c>
      <c r="J14" s="80"/>
      <c r="L14" s="338"/>
      <c r="M14" s="159"/>
      <c r="N14" s="79" t="s">
        <v>12</v>
      </c>
      <c r="O14" s="79" t="s">
        <v>222</v>
      </c>
      <c r="P14" s="133">
        <v>2</v>
      </c>
      <c r="Q14" s="133">
        <v>2.2999999999999998</v>
      </c>
      <c r="R14" s="133"/>
      <c r="S14" s="79">
        <v>0.68</v>
      </c>
      <c r="T14" s="79">
        <f t="shared" si="0"/>
        <v>3.1280000000000001</v>
      </c>
      <c r="U14" s="202"/>
    </row>
    <row r="15" spans="1:21" x14ac:dyDescent="0.7">
      <c r="A15" s="84"/>
      <c r="B15" s="81" t="s">
        <v>280</v>
      </c>
      <c r="C15" s="79" t="s">
        <v>12</v>
      </c>
      <c r="D15" s="79" t="s">
        <v>222</v>
      </c>
      <c r="E15" s="79">
        <v>1</v>
      </c>
      <c r="F15" s="79">
        <v>2.91</v>
      </c>
      <c r="G15" s="79"/>
      <c r="H15" s="79">
        <v>2.71</v>
      </c>
      <c r="I15" s="79">
        <f t="shared" si="1"/>
        <v>7.8860999999999999</v>
      </c>
      <c r="J15" s="80"/>
      <c r="L15" s="84" t="s">
        <v>26</v>
      </c>
      <c r="M15" s="183" t="s">
        <v>281</v>
      </c>
      <c r="N15" s="133"/>
      <c r="O15" s="133"/>
      <c r="P15" s="133"/>
      <c r="Q15" s="133"/>
      <c r="R15" s="133"/>
      <c r="S15" s="133"/>
      <c r="T15" s="81"/>
      <c r="U15" s="80"/>
    </row>
    <row r="16" spans="1:21" x14ac:dyDescent="0.7">
      <c r="A16" s="84">
        <v>2</v>
      </c>
      <c r="B16" s="109" t="s">
        <v>282</v>
      </c>
      <c r="C16" s="79"/>
      <c r="D16" s="79"/>
      <c r="E16" s="79"/>
      <c r="F16" s="79"/>
      <c r="G16" s="79"/>
      <c r="H16" s="79"/>
      <c r="I16" s="79">
        <f t="shared" si="1"/>
        <v>0</v>
      </c>
      <c r="J16" s="80"/>
      <c r="L16" s="84"/>
      <c r="M16" s="203" t="s">
        <v>267</v>
      </c>
      <c r="N16" s="133" t="s">
        <v>12</v>
      </c>
      <c r="O16" s="79" t="s">
        <v>222</v>
      </c>
      <c r="P16" s="133">
        <v>2</v>
      </c>
      <c r="Q16" s="133">
        <v>2.1</v>
      </c>
      <c r="R16" s="133"/>
      <c r="S16" s="133">
        <v>4.5</v>
      </c>
      <c r="T16" s="79">
        <f>PRODUCT(P16:S16)</f>
        <v>18.900000000000002</v>
      </c>
      <c r="U16" s="80"/>
    </row>
    <row r="17" spans="1:21" x14ac:dyDescent="0.7">
      <c r="A17" s="84"/>
      <c r="B17" s="81" t="s">
        <v>283</v>
      </c>
      <c r="C17" s="79" t="s">
        <v>12</v>
      </c>
      <c r="D17" s="79" t="s">
        <v>222</v>
      </c>
      <c r="E17" s="79">
        <v>4</v>
      </c>
      <c r="F17" s="79">
        <v>4</v>
      </c>
      <c r="G17" s="79"/>
      <c r="H17" s="79">
        <v>2.8</v>
      </c>
      <c r="I17" s="79">
        <f t="shared" si="1"/>
        <v>44.8</v>
      </c>
      <c r="J17" s="80"/>
      <c r="L17" s="84"/>
      <c r="M17" s="81" t="s">
        <v>284</v>
      </c>
      <c r="N17" s="133" t="s">
        <v>12</v>
      </c>
      <c r="O17" s="79" t="s">
        <v>222</v>
      </c>
      <c r="P17" s="133">
        <v>2</v>
      </c>
      <c r="Q17" s="133">
        <v>3.08</v>
      </c>
      <c r="R17" s="133"/>
      <c r="S17" s="133">
        <v>4.5</v>
      </c>
      <c r="T17" s="79">
        <f>PRODUCT(P17:S17)</f>
        <v>27.72</v>
      </c>
      <c r="U17" s="80"/>
    </row>
    <row r="18" spans="1:21" x14ac:dyDescent="0.7">
      <c r="A18" s="84"/>
      <c r="B18" s="81" t="s">
        <v>283</v>
      </c>
      <c r="C18" s="79" t="s">
        <v>12</v>
      </c>
      <c r="D18" s="79" t="s">
        <v>222</v>
      </c>
      <c r="E18" s="79">
        <v>4</v>
      </c>
      <c r="F18" s="79">
        <v>5.9</v>
      </c>
      <c r="G18" s="79"/>
      <c r="H18" s="79">
        <v>2.8</v>
      </c>
      <c r="I18" s="79">
        <f t="shared" si="1"/>
        <v>66.08</v>
      </c>
      <c r="J18" s="80"/>
      <c r="L18" s="84"/>
      <c r="M18" s="81" t="s">
        <v>273</v>
      </c>
      <c r="N18" s="133" t="s">
        <v>12</v>
      </c>
      <c r="O18" s="79" t="s">
        <v>222</v>
      </c>
      <c r="P18" s="133">
        <v>1</v>
      </c>
      <c r="Q18" s="133">
        <v>3.08</v>
      </c>
      <c r="R18" s="133"/>
      <c r="S18" s="133">
        <v>0.75</v>
      </c>
      <c r="T18" s="79">
        <f>PRODUCT(P18:S18)</f>
        <v>2.31</v>
      </c>
      <c r="U18" s="80"/>
    </row>
    <row r="19" spans="1:21" x14ac:dyDescent="0.7">
      <c r="A19" s="84"/>
      <c r="B19" s="81" t="s">
        <v>272</v>
      </c>
      <c r="C19" s="79" t="s">
        <v>12</v>
      </c>
      <c r="D19" s="79" t="s">
        <v>222</v>
      </c>
      <c r="E19" s="79">
        <v>1</v>
      </c>
      <c r="F19" s="79">
        <v>4</v>
      </c>
      <c r="G19" s="79"/>
      <c r="H19" s="79">
        <v>5.9</v>
      </c>
      <c r="I19" s="79">
        <f t="shared" si="1"/>
        <v>23.6</v>
      </c>
      <c r="J19" s="80"/>
      <c r="L19" s="84"/>
      <c r="M19" s="81" t="s">
        <v>285</v>
      </c>
      <c r="N19" s="133" t="s">
        <v>12</v>
      </c>
      <c r="O19" s="79" t="s">
        <v>222</v>
      </c>
      <c r="P19" s="133">
        <v>-1</v>
      </c>
      <c r="Q19" s="133">
        <v>1.03</v>
      </c>
      <c r="R19" s="133"/>
      <c r="S19" s="133">
        <v>0.97</v>
      </c>
      <c r="T19" s="79">
        <f>PRODUCT(P19:S19)</f>
        <v>-0.99909999999999999</v>
      </c>
      <c r="U19" s="80"/>
    </row>
    <row r="20" spans="1:21" x14ac:dyDescent="0.7">
      <c r="A20" s="84"/>
      <c r="B20" s="81" t="s">
        <v>276</v>
      </c>
      <c r="C20" s="79" t="s">
        <v>12</v>
      </c>
      <c r="D20" s="79" t="s">
        <v>222</v>
      </c>
      <c r="E20" s="79">
        <v>-2</v>
      </c>
      <c r="F20" s="79">
        <v>0.9</v>
      </c>
      <c r="G20" s="79"/>
      <c r="H20" s="79">
        <v>2</v>
      </c>
      <c r="I20" s="79">
        <f t="shared" si="1"/>
        <v>-3.6</v>
      </c>
      <c r="J20" s="80"/>
      <c r="L20" s="84"/>
      <c r="M20" s="81" t="s">
        <v>276</v>
      </c>
      <c r="N20" s="133" t="s">
        <v>12</v>
      </c>
      <c r="O20" s="79" t="s">
        <v>222</v>
      </c>
      <c r="P20" s="133">
        <v>-1</v>
      </c>
      <c r="Q20" s="133">
        <v>1.02</v>
      </c>
      <c r="R20" s="133"/>
      <c r="S20" s="133">
        <v>2.1</v>
      </c>
      <c r="T20" s="79">
        <f>PRODUCT(P20:S20)</f>
        <v>-2.1420000000000003</v>
      </c>
      <c r="U20" s="80"/>
    </row>
    <row r="21" spans="1:21" x14ac:dyDescent="0.7">
      <c r="A21" s="84"/>
      <c r="B21" s="81" t="s">
        <v>276</v>
      </c>
      <c r="C21" s="79" t="s">
        <v>12</v>
      </c>
      <c r="D21" s="79" t="s">
        <v>222</v>
      </c>
      <c r="E21" s="79">
        <v>-2</v>
      </c>
      <c r="F21" s="79">
        <v>0.66</v>
      </c>
      <c r="G21" s="79"/>
      <c r="H21" s="79">
        <v>2</v>
      </c>
      <c r="I21" s="79">
        <f t="shared" si="1"/>
        <v>-2.64</v>
      </c>
      <c r="J21" s="80"/>
      <c r="L21" s="84" t="s">
        <v>32</v>
      </c>
      <c r="M21" s="183" t="s">
        <v>286</v>
      </c>
      <c r="N21" s="133"/>
      <c r="O21" s="133"/>
      <c r="P21" s="133"/>
      <c r="Q21" s="133"/>
      <c r="R21" s="133"/>
      <c r="S21" s="133"/>
      <c r="T21" s="79"/>
      <c r="U21" s="80"/>
    </row>
    <row r="22" spans="1:21" x14ac:dyDescent="0.7">
      <c r="A22" s="84">
        <v>3</v>
      </c>
      <c r="B22" s="109" t="s">
        <v>171</v>
      </c>
      <c r="C22" s="79"/>
      <c r="D22" s="79"/>
      <c r="E22" s="79"/>
      <c r="F22" s="79"/>
      <c r="G22" s="79"/>
      <c r="H22" s="79"/>
      <c r="I22" s="79"/>
      <c r="J22" s="80"/>
      <c r="L22" s="84"/>
      <c r="M22" s="203" t="s">
        <v>267</v>
      </c>
      <c r="N22" s="133" t="s">
        <v>12</v>
      </c>
      <c r="O22" s="79" t="s">
        <v>222</v>
      </c>
      <c r="P22" s="133">
        <v>2</v>
      </c>
      <c r="Q22" s="133">
        <v>3.08</v>
      </c>
      <c r="R22" s="133"/>
      <c r="S22" s="133">
        <v>4.5</v>
      </c>
      <c r="T22" s="79">
        <f>PRODUCT(P22:S22)</f>
        <v>27.72</v>
      </c>
      <c r="U22" s="80"/>
    </row>
    <row r="23" spans="1:21" x14ac:dyDescent="0.7">
      <c r="A23" s="84"/>
      <c r="B23" s="81" t="s">
        <v>267</v>
      </c>
      <c r="C23" s="79" t="s">
        <v>12</v>
      </c>
      <c r="D23" s="79" t="s">
        <v>222</v>
      </c>
      <c r="E23" s="79">
        <v>2</v>
      </c>
      <c r="F23" s="79">
        <v>4</v>
      </c>
      <c r="G23" s="79"/>
      <c r="H23" s="79">
        <v>2.71</v>
      </c>
      <c r="I23" s="79">
        <f>PRODUCT(E23:H23)</f>
        <v>21.68</v>
      </c>
      <c r="J23" s="80"/>
      <c r="L23" s="84"/>
      <c r="M23" s="81" t="s">
        <v>284</v>
      </c>
      <c r="N23" s="133" t="s">
        <v>12</v>
      </c>
      <c r="O23" s="79" t="s">
        <v>222</v>
      </c>
      <c r="P23" s="133">
        <v>2</v>
      </c>
      <c r="Q23" s="133">
        <v>4.5</v>
      </c>
      <c r="R23" s="133"/>
      <c r="S23" s="133">
        <v>4.5</v>
      </c>
      <c r="T23" s="79">
        <f>PRODUCT(P23:S23)</f>
        <v>40.5</v>
      </c>
      <c r="U23" s="80"/>
    </row>
    <row r="24" spans="1:21" x14ac:dyDescent="0.7">
      <c r="A24" s="84"/>
      <c r="B24" s="81" t="s">
        <v>283</v>
      </c>
      <c r="C24" s="79" t="s">
        <v>12</v>
      </c>
      <c r="D24" s="79" t="s">
        <v>222</v>
      </c>
      <c r="E24" s="79">
        <v>2</v>
      </c>
      <c r="F24" s="79">
        <v>2.87</v>
      </c>
      <c r="G24" s="79"/>
      <c r="H24" s="79">
        <v>2.71</v>
      </c>
      <c r="I24" s="79">
        <f>PRODUCT(E24:H24)</f>
        <v>15.555400000000001</v>
      </c>
      <c r="J24" s="80"/>
      <c r="L24" s="84"/>
      <c r="M24" s="81" t="s">
        <v>285</v>
      </c>
      <c r="N24" s="133" t="s">
        <v>12</v>
      </c>
      <c r="O24" s="79" t="s">
        <v>222</v>
      </c>
      <c r="P24" s="133">
        <v>-3</v>
      </c>
      <c r="Q24" s="133">
        <v>1.01</v>
      </c>
      <c r="R24" s="133"/>
      <c r="S24" s="133">
        <v>1.18</v>
      </c>
      <c r="T24" s="79">
        <f>PRODUCT(P24:S24)</f>
        <v>-3.5754000000000001</v>
      </c>
      <c r="U24" s="80"/>
    </row>
    <row r="25" spans="1:21" x14ac:dyDescent="0.7">
      <c r="A25" s="84"/>
      <c r="B25" s="81" t="s">
        <v>272</v>
      </c>
      <c r="C25" s="79" t="s">
        <v>12</v>
      </c>
      <c r="D25" s="79" t="s">
        <v>222</v>
      </c>
      <c r="E25" s="79">
        <v>1</v>
      </c>
      <c r="F25" s="79">
        <v>4</v>
      </c>
      <c r="G25" s="79"/>
      <c r="H25" s="79">
        <v>2.87</v>
      </c>
      <c r="I25" s="79">
        <f>PRODUCT(E25:H25)</f>
        <v>11.48</v>
      </c>
      <c r="J25" s="80"/>
      <c r="L25" s="84"/>
      <c r="M25" s="81" t="s">
        <v>276</v>
      </c>
      <c r="N25" s="133" t="s">
        <v>12</v>
      </c>
      <c r="O25" s="79" t="s">
        <v>222</v>
      </c>
      <c r="P25" s="133">
        <v>-1</v>
      </c>
      <c r="Q25" s="133">
        <v>0.98</v>
      </c>
      <c r="R25" s="133"/>
      <c r="S25" s="133">
        <v>2.1</v>
      </c>
      <c r="T25" s="79">
        <f>PRODUCT(P25:S25)</f>
        <v>-2.0579999999999998</v>
      </c>
      <c r="U25" s="80"/>
    </row>
    <row r="26" spans="1:21" x14ac:dyDescent="0.7">
      <c r="A26" s="84"/>
      <c r="B26" s="81" t="s">
        <v>276</v>
      </c>
      <c r="C26" s="79" t="s">
        <v>12</v>
      </c>
      <c r="D26" s="79" t="s">
        <v>222</v>
      </c>
      <c r="E26" s="79">
        <v>-1</v>
      </c>
      <c r="F26" s="79">
        <v>0.98</v>
      </c>
      <c r="G26" s="79"/>
      <c r="H26" s="79">
        <v>2.08</v>
      </c>
      <c r="I26" s="79">
        <f t="shared" si="1"/>
        <v>-2.0384000000000002</v>
      </c>
      <c r="J26" s="80"/>
      <c r="L26" s="84" t="s">
        <v>195</v>
      </c>
      <c r="M26" s="183" t="s">
        <v>287</v>
      </c>
      <c r="N26" s="133"/>
      <c r="O26" s="133"/>
      <c r="P26" s="133"/>
      <c r="Q26" s="133"/>
      <c r="R26" s="133"/>
      <c r="S26" s="133"/>
      <c r="T26" s="79"/>
      <c r="U26" s="80"/>
    </row>
    <row r="27" spans="1:21" x14ac:dyDescent="0.7">
      <c r="A27" s="84"/>
      <c r="B27" s="81" t="s">
        <v>285</v>
      </c>
      <c r="C27" s="79" t="s">
        <v>12</v>
      </c>
      <c r="D27" s="79" t="s">
        <v>222</v>
      </c>
      <c r="E27" s="79">
        <v>-1</v>
      </c>
      <c r="F27" s="79">
        <v>1.3</v>
      </c>
      <c r="G27" s="79"/>
      <c r="H27" s="79">
        <v>1.25</v>
      </c>
      <c r="I27" s="79">
        <f>PRODUCT(E27:H27)</f>
        <v>-1.625</v>
      </c>
      <c r="J27" s="80"/>
      <c r="L27" s="84"/>
      <c r="M27" s="203" t="s">
        <v>267</v>
      </c>
      <c r="N27" s="133" t="s">
        <v>12</v>
      </c>
      <c r="O27" s="79" t="s">
        <v>222</v>
      </c>
      <c r="P27" s="133">
        <v>2</v>
      </c>
      <c r="Q27" s="133">
        <v>5.2</v>
      </c>
      <c r="R27" s="133"/>
      <c r="S27" s="133">
        <v>3.2</v>
      </c>
      <c r="T27" s="79">
        <f>PRODUCT(P27:S27)</f>
        <v>33.28</v>
      </c>
      <c r="U27" s="80"/>
    </row>
    <row r="28" spans="1:21" x14ac:dyDescent="0.7">
      <c r="A28" s="84">
        <v>4</v>
      </c>
      <c r="B28" s="109" t="s">
        <v>288</v>
      </c>
      <c r="C28" s="79"/>
      <c r="D28" s="79"/>
      <c r="E28" s="79"/>
      <c r="F28" s="79"/>
      <c r="G28" s="79"/>
      <c r="H28" s="79"/>
      <c r="I28" s="79">
        <f t="shared" si="1"/>
        <v>0</v>
      </c>
      <c r="J28" s="80"/>
      <c r="L28" s="84"/>
      <c r="M28" s="81" t="s">
        <v>284</v>
      </c>
      <c r="N28" s="133" t="s">
        <v>12</v>
      </c>
      <c r="O28" s="79" t="s">
        <v>222</v>
      </c>
      <c r="P28" s="133">
        <v>1</v>
      </c>
      <c r="Q28" s="133">
        <v>5.0999999999999996</v>
      </c>
      <c r="R28" s="133"/>
      <c r="S28" s="133">
        <v>3.2</v>
      </c>
      <c r="T28" s="79">
        <f>PRODUCT(P28:S28)</f>
        <v>16.32</v>
      </c>
      <c r="U28" s="80"/>
    </row>
    <row r="29" spans="1:21" x14ac:dyDescent="0.7">
      <c r="A29" s="84"/>
      <c r="B29" s="81" t="s">
        <v>289</v>
      </c>
      <c r="C29" s="79" t="s">
        <v>12</v>
      </c>
      <c r="D29" s="79" t="s">
        <v>222</v>
      </c>
      <c r="E29" s="79">
        <v>1</v>
      </c>
      <c r="F29" s="79">
        <v>0.85</v>
      </c>
      <c r="G29" s="79"/>
      <c r="H29" s="79">
        <v>2.7</v>
      </c>
      <c r="I29" s="79">
        <f t="shared" si="1"/>
        <v>2.2949999999999999</v>
      </c>
      <c r="J29" s="80"/>
      <c r="L29" s="84" t="s">
        <v>43</v>
      </c>
      <c r="M29" s="183" t="s">
        <v>290</v>
      </c>
      <c r="N29" s="133"/>
      <c r="O29" s="133"/>
      <c r="P29" s="133"/>
      <c r="Q29" s="133"/>
      <c r="R29" s="133"/>
      <c r="S29" s="133"/>
      <c r="T29" s="79"/>
      <c r="U29" s="80"/>
    </row>
    <row r="30" spans="1:21" x14ac:dyDescent="0.7">
      <c r="A30" s="84"/>
      <c r="B30" s="81" t="s">
        <v>267</v>
      </c>
      <c r="C30" s="79" t="s">
        <v>12</v>
      </c>
      <c r="D30" s="79" t="s">
        <v>222</v>
      </c>
      <c r="E30" s="79">
        <v>2</v>
      </c>
      <c r="F30" s="79">
        <v>3.98</v>
      </c>
      <c r="G30" s="79"/>
      <c r="H30" s="79">
        <v>2.7</v>
      </c>
      <c r="I30" s="79">
        <f t="shared" si="1"/>
        <v>21.492000000000001</v>
      </c>
      <c r="J30" s="80"/>
      <c r="L30" s="84"/>
      <c r="M30" s="203" t="s">
        <v>267</v>
      </c>
      <c r="N30" s="133" t="s">
        <v>12</v>
      </c>
      <c r="O30" s="79" t="s">
        <v>222</v>
      </c>
      <c r="P30" s="133">
        <v>2</v>
      </c>
      <c r="Q30" s="133">
        <v>4.0999999999999996</v>
      </c>
      <c r="R30" s="133"/>
      <c r="S30" s="133">
        <v>4.5</v>
      </c>
      <c r="T30" s="79">
        <f t="shared" ref="T30:T39" si="2">PRODUCT(P30:S30)</f>
        <v>36.9</v>
      </c>
      <c r="U30" s="80"/>
    </row>
    <row r="31" spans="1:21" x14ac:dyDescent="0.7">
      <c r="A31" s="84"/>
      <c r="B31" s="81" t="s">
        <v>272</v>
      </c>
      <c r="C31" s="79" t="s">
        <v>12</v>
      </c>
      <c r="D31" s="79" t="s">
        <v>222</v>
      </c>
      <c r="E31" s="79">
        <v>1</v>
      </c>
      <c r="F31" s="79">
        <v>3.98</v>
      </c>
      <c r="G31" s="79"/>
      <c r="H31" s="79">
        <v>2.7</v>
      </c>
      <c r="I31" s="79">
        <f t="shared" si="1"/>
        <v>10.746</v>
      </c>
      <c r="J31" s="80"/>
      <c r="L31" s="84"/>
      <c r="M31" s="81" t="s">
        <v>284</v>
      </c>
      <c r="N31" s="133" t="s">
        <v>12</v>
      </c>
      <c r="O31" s="79" t="s">
        <v>222</v>
      </c>
      <c r="P31" s="133">
        <v>1</v>
      </c>
      <c r="Q31" s="133">
        <v>6.1</v>
      </c>
      <c r="R31" s="133"/>
      <c r="S31" s="133">
        <v>4.5</v>
      </c>
      <c r="T31" s="79">
        <f t="shared" si="2"/>
        <v>27.45</v>
      </c>
      <c r="U31" s="80"/>
    </row>
    <row r="32" spans="1:21" x14ac:dyDescent="0.7">
      <c r="A32" s="84"/>
      <c r="B32" s="81" t="s">
        <v>276</v>
      </c>
      <c r="C32" s="79" t="s">
        <v>12</v>
      </c>
      <c r="D32" s="79" t="s">
        <v>222</v>
      </c>
      <c r="E32" s="79">
        <v>-1</v>
      </c>
      <c r="F32" s="79">
        <v>0.98</v>
      </c>
      <c r="G32" s="79"/>
      <c r="H32" s="79">
        <v>2.0699999999999998</v>
      </c>
      <c r="I32" s="79">
        <f t="shared" si="1"/>
        <v>-2.0286</v>
      </c>
      <c r="J32" s="80"/>
      <c r="L32" s="84"/>
      <c r="M32" s="81" t="s">
        <v>268</v>
      </c>
      <c r="N32" s="133" t="s">
        <v>12</v>
      </c>
      <c r="O32" s="79" t="s">
        <v>222</v>
      </c>
      <c r="P32" s="133">
        <v>1</v>
      </c>
      <c r="Q32" s="133">
        <v>6.1</v>
      </c>
      <c r="R32" s="133"/>
      <c r="S32" s="133">
        <v>4.5</v>
      </c>
      <c r="T32" s="79">
        <f t="shared" si="2"/>
        <v>27.45</v>
      </c>
      <c r="U32" s="80"/>
    </row>
    <row r="33" spans="1:21" x14ac:dyDescent="0.7">
      <c r="A33" s="84"/>
      <c r="B33" s="81" t="s">
        <v>276</v>
      </c>
      <c r="C33" s="79" t="s">
        <v>12</v>
      </c>
      <c r="D33" s="79" t="s">
        <v>222</v>
      </c>
      <c r="E33" s="79">
        <v>-1</v>
      </c>
      <c r="F33" s="79">
        <v>0.7</v>
      </c>
      <c r="G33" s="79"/>
      <c r="H33" s="79">
        <v>2.0699999999999998</v>
      </c>
      <c r="I33" s="79">
        <f t="shared" si="1"/>
        <v>-1.4489999999999998</v>
      </c>
      <c r="J33" s="80"/>
      <c r="L33" s="84"/>
      <c r="M33" s="81" t="s">
        <v>273</v>
      </c>
      <c r="N33" s="133" t="s">
        <v>12</v>
      </c>
      <c r="O33" s="79" t="s">
        <v>222</v>
      </c>
      <c r="P33" s="133">
        <v>4</v>
      </c>
      <c r="Q33" s="133">
        <v>2.2000000000000002</v>
      </c>
      <c r="R33" s="133"/>
      <c r="S33" s="133">
        <v>1</v>
      </c>
      <c r="T33" s="79">
        <f t="shared" si="2"/>
        <v>8.8000000000000007</v>
      </c>
      <c r="U33" s="80"/>
    </row>
    <row r="34" spans="1:21" x14ac:dyDescent="0.7">
      <c r="A34" s="84"/>
      <c r="B34" s="81" t="s">
        <v>276</v>
      </c>
      <c r="C34" s="79" t="s">
        <v>12</v>
      </c>
      <c r="D34" s="79" t="s">
        <v>222</v>
      </c>
      <c r="E34" s="79">
        <v>-1</v>
      </c>
      <c r="F34" s="79">
        <v>0.72</v>
      </c>
      <c r="G34" s="79"/>
      <c r="H34" s="79">
        <v>2.0699999999999998</v>
      </c>
      <c r="I34" s="79">
        <f t="shared" si="1"/>
        <v>-1.4903999999999997</v>
      </c>
      <c r="J34" s="80"/>
      <c r="L34" s="84"/>
      <c r="M34" s="81" t="s">
        <v>273</v>
      </c>
      <c r="N34" s="133" t="s">
        <v>12</v>
      </c>
      <c r="O34" s="79" t="s">
        <v>222</v>
      </c>
      <c r="P34" s="133">
        <v>1</v>
      </c>
      <c r="Q34" s="133">
        <v>3.85</v>
      </c>
      <c r="R34" s="133"/>
      <c r="S34" s="133">
        <v>1</v>
      </c>
      <c r="T34" s="79">
        <f t="shared" si="2"/>
        <v>3.85</v>
      </c>
      <c r="U34" s="80"/>
    </row>
    <row r="35" spans="1:21" x14ac:dyDescent="0.7">
      <c r="A35" s="84"/>
      <c r="B35" s="81" t="s">
        <v>276</v>
      </c>
      <c r="C35" s="79" t="s">
        <v>12</v>
      </c>
      <c r="D35" s="79" t="s">
        <v>222</v>
      </c>
      <c r="E35" s="79">
        <v>-1</v>
      </c>
      <c r="F35" s="79">
        <v>1.2150000000000001</v>
      </c>
      <c r="G35" s="79"/>
      <c r="H35" s="79">
        <v>2.0699999999999998</v>
      </c>
      <c r="I35" s="79">
        <f t="shared" si="1"/>
        <v>-2.51505</v>
      </c>
      <c r="J35" s="80"/>
      <c r="L35" s="84"/>
      <c r="M35" s="81" t="s">
        <v>291</v>
      </c>
      <c r="N35" s="133" t="s">
        <v>12</v>
      </c>
      <c r="O35" s="79" t="s">
        <v>222</v>
      </c>
      <c r="P35" s="133">
        <v>-1</v>
      </c>
      <c r="Q35" s="133">
        <v>0.6</v>
      </c>
      <c r="R35" s="133"/>
      <c r="S35" s="133">
        <v>0.6</v>
      </c>
      <c r="T35" s="79">
        <f t="shared" si="2"/>
        <v>-0.36</v>
      </c>
      <c r="U35" s="80"/>
    </row>
    <row r="36" spans="1:21" x14ac:dyDescent="0.7">
      <c r="A36" s="84"/>
      <c r="B36" s="81" t="s">
        <v>292</v>
      </c>
      <c r="C36" s="79" t="s">
        <v>12</v>
      </c>
      <c r="D36" s="79" t="s">
        <v>222</v>
      </c>
      <c r="E36" s="79">
        <v>1</v>
      </c>
      <c r="F36" s="79">
        <v>4.2</v>
      </c>
      <c r="G36" s="79"/>
      <c r="H36" s="79">
        <v>1.25</v>
      </c>
      <c r="I36" s="79">
        <f t="shared" si="1"/>
        <v>5.25</v>
      </c>
      <c r="J36" s="80"/>
      <c r="L36" s="84"/>
      <c r="M36" s="81" t="s">
        <v>276</v>
      </c>
      <c r="N36" s="133" t="s">
        <v>12</v>
      </c>
      <c r="O36" s="79" t="s">
        <v>222</v>
      </c>
      <c r="P36" s="133">
        <v>-1</v>
      </c>
      <c r="Q36" s="133">
        <v>0.75</v>
      </c>
      <c r="R36" s="133"/>
      <c r="S36" s="133">
        <v>1.22</v>
      </c>
      <c r="T36" s="79">
        <f t="shared" si="2"/>
        <v>-0.91500000000000004</v>
      </c>
      <c r="U36" s="80"/>
    </row>
    <row r="37" spans="1:21" x14ac:dyDescent="0.7">
      <c r="A37" s="84">
        <v>5</v>
      </c>
      <c r="B37" s="109" t="s">
        <v>178</v>
      </c>
      <c r="C37" s="79"/>
      <c r="D37" s="79"/>
      <c r="E37" s="79"/>
      <c r="F37" s="79"/>
      <c r="G37" s="79"/>
      <c r="H37" s="79"/>
      <c r="I37" s="79"/>
      <c r="J37" s="80"/>
      <c r="L37" s="84"/>
      <c r="M37" s="81" t="s">
        <v>285</v>
      </c>
      <c r="N37" s="133" t="s">
        <v>12</v>
      </c>
      <c r="O37" s="79" t="s">
        <v>222</v>
      </c>
      <c r="P37" s="133">
        <v>-4</v>
      </c>
      <c r="Q37" s="133">
        <v>0.7</v>
      </c>
      <c r="R37" s="133"/>
      <c r="S37" s="133">
        <v>1.2</v>
      </c>
      <c r="T37" s="79">
        <f t="shared" si="2"/>
        <v>-3.36</v>
      </c>
      <c r="U37" s="80"/>
    </row>
    <row r="38" spans="1:21" x14ac:dyDescent="0.7">
      <c r="A38" s="84"/>
      <c r="B38" s="81" t="s">
        <v>293</v>
      </c>
      <c r="C38" s="79" t="s">
        <v>12</v>
      </c>
      <c r="D38" s="79" t="s">
        <v>222</v>
      </c>
      <c r="E38" s="79">
        <v>2</v>
      </c>
      <c r="F38" s="79">
        <v>4.03</v>
      </c>
      <c r="G38" s="79"/>
      <c r="H38" s="79">
        <v>2.75</v>
      </c>
      <c r="I38" s="79">
        <f t="shared" si="1"/>
        <v>22.165000000000003</v>
      </c>
      <c r="J38" s="80"/>
      <c r="L38" s="84"/>
      <c r="M38" s="81" t="s">
        <v>285</v>
      </c>
      <c r="N38" s="133" t="s">
        <v>12</v>
      </c>
      <c r="O38" s="79" t="s">
        <v>222</v>
      </c>
      <c r="P38" s="133">
        <v>-2</v>
      </c>
      <c r="Q38" s="133">
        <v>0.9</v>
      </c>
      <c r="R38" s="133"/>
      <c r="S38" s="133">
        <v>2.13</v>
      </c>
      <c r="T38" s="79">
        <f t="shared" si="2"/>
        <v>-3.8340000000000001</v>
      </c>
      <c r="U38" s="80"/>
    </row>
    <row r="39" spans="1:21" x14ac:dyDescent="0.7">
      <c r="A39" s="84"/>
      <c r="B39" s="81" t="s">
        <v>267</v>
      </c>
      <c r="C39" s="79" t="s">
        <v>12</v>
      </c>
      <c r="D39" s="79" t="s">
        <v>222</v>
      </c>
      <c r="E39" s="79">
        <v>2</v>
      </c>
      <c r="F39" s="79">
        <v>5.83</v>
      </c>
      <c r="G39" s="79"/>
      <c r="H39" s="79">
        <v>2.75</v>
      </c>
      <c r="I39" s="79">
        <f t="shared" si="1"/>
        <v>32.064999999999998</v>
      </c>
      <c r="J39" s="80"/>
      <c r="L39" s="84"/>
      <c r="M39" s="81" t="s">
        <v>285</v>
      </c>
      <c r="N39" s="133" t="s">
        <v>12</v>
      </c>
      <c r="O39" s="79" t="s">
        <v>222</v>
      </c>
      <c r="P39" s="133">
        <v>-2</v>
      </c>
      <c r="Q39" s="133">
        <v>0.63</v>
      </c>
      <c r="R39" s="133"/>
      <c r="S39" s="133">
        <v>1.2</v>
      </c>
      <c r="T39" s="79">
        <f t="shared" si="2"/>
        <v>-1.512</v>
      </c>
      <c r="U39" s="80"/>
    </row>
    <row r="40" spans="1:21" x14ac:dyDescent="0.7">
      <c r="A40" s="84"/>
      <c r="B40" s="81" t="s">
        <v>272</v>
      </c>
      <c r="C40" s="79" t="s">
        <v>12</v>
      </c>
      <c r="D40" s="79" t="s">
        <v>222</v>
      </c>
      <c r="E40" s="79">
        <v>1</v>
      </c>
      <c r="F40" s="79">
        <v>4.03</v>
      </c>
      <c r="G40" s="79"/>
      <c r="H40" s="79">
        <v>5.83</v>
      </c>
      <c r="I40" s="79">
        <f t="shared" si="1"/>
        <v>23.494900000000001</v>
      </c>
      <c r="J40" s="80"/>
      <c r="L40" s="84" t="s">
        <v>65</v>
      </c>
      <c r="M40" s="183" t="s">
        <v>294</v>
      </c>
      <c r="N40" s="133"/>
      <c r="O40" s="133"/>
      <c r="P40" s="133"/>
      <c r="Q40" s="133"/>
      <c r="R40" s="133"/>
      <c r="S40" s="133"/>
      <c r="T40" s="79"/>
      <c r="U40" s="80"/>
    </row>
    <row r="41" spans="1:21" x14ac:dyDescent="0.7">
      <c r="A41" s="84"/>
      <c r="B41" s="81" t="s">
        <v>285</v>
      </c>
      <c r="C41" s="79" t="s">
        <v>12</v>
      </c>
      <c r="D41" s="79" t="s">
        <v>222</v>
      </c>
      <c r="E41" s="79">
        <v>1</v>
      </c>
      <c r="F41" s="79">
        <v>1.33</v>
      </c>
      <c r="G41" s="79"/>
      <c r="H41" s="79">
        <v>1.25</v>
      </c>
      <c r="I41" s="79">
        <f t="shared" si="1"/>
        <v>1.6625000000000001</v>
      </c>
      <c r="J41" s="80"/>
      <c r="L41" s="84"/>
      <c r="M41" s="203" t="s">
        <v>267</v>
      </c>
      <c r="N41" s="133" t="s">
        <v>12</v>
      </c>
      <c r="O41" s="79" t="s">
        <v>222</v>
      </c>
      <c r="P41" s="133">
        <v>2</v>
      </c>
      <c r="Q41" s="133">
        <v>2.5499999999999998</v>
      </c>
      <c r="R41" s="133"/>
      <c r="S41" s="133">
        <v>4.5</v>
      </c>
      <c r="T41" s="79">
        <f>PRODUCT(P41:S41)</f>
        <v>22.95</v>
      </c>
      <c r="U41" s="80"/>
    </row>
    <row r="42" spans="1:21" x14ac:dyDescent="0.7">
      <c r="A42" s="84"/>
      <c r="B42" s="81" t="s">
        <v>276</v>
      </c>
      <c r="C42" s="79" t="s">
        <v>12</v>
      </c>
      <c r="D42" s="79" t="s">
        <v>222</v>
      </c>
      <c r="E42" s="79">
        <v>-1</v>
      </c>
      <c r="F42" s="79">
        <v>0.98</v>
      </c>
      <c r="G42" s="79"/>
      <c r="H42" s="79">
        <v>2.0699999999999998</v>
      </c>
      <c r="I42" s="79">
        <f>PRODUCT(E42:H42)</f>
        <v>-2.0286</v>
      </c>
      <c r="J42" s="80"/>
      <c r="L42" s="84"/>
      <c r="M42" s="81" t="s">
        <v>293</v>
      </c>
      <c r="N42" s="133" t="s">
        <v>12</v>
      </c>
      <c r="O42" s="79" t="s">
        <v>222</v>
      </c>
      <c r="P42" s="133">
        <v>2</v>
      </c>
      <c r="Q42" s="133">
        <v>2.5499999999999998</v>
      </c>
      <c r="R42" s="133"/>
      <c r="S42" s="133">
        <v>4.5</v>
      </c>
      <c r="T42" s="79">
        <f>PRODUCT(P42:S42)</f>
        <v>22.95</v>
      </c>
      <c r="U42" s="175"/>
    </row>
    <row r="43" spans="1:21" x14ac:dyDescent="0.7">
      <c r="A43" s="84"/>
      <c r="B43" s="81" t="s">
        <v>276</v>
      </c>
      <c r="C43" s="79" t="s">
        <v>12</v>
      </c>
      <c r="D43" s="79" t="s">
        <v>222</v>
      </c>
      <c r="E43" s="79">
        <v>-1</v>
      </c>
      <c r="F43" s="79">
        <v>0.7</v>
      </c>
      <c r="G43" s="79"/>
      <c r="H43" s="79">
        <v>2.0699999999999998</v>
      </c>
      <c r="I43" s="79">
        <f>PRODUCT(E43:H43)</f>
        <v>-1.4489999999999998</v>
      </c>
      <c r="J43" s="80"/>
      <c r="L43" s="84"/>
      <c r="M43" s="81" t="s">
        <v>273</v>
      </c>
      <c r="N43" s="133" t="s">
        <v>12</v>
      </c>
      <c r="O43" s="79" t="s">
        <v>222</v>
      </c>
      <c r="P43" s="133">
        <v>2</v>
      </c>
      <c r="Q43" s="133">
        <v>1.5</v>
      </c>
      <c r="R43" s="133"/>
      <c r="S43" s="133">
        <v>1</v>
      </c>
      <c r="T43" s="79">
        <f>PRODUCT(P43:S43)</f>
        <v>3</v>
      </c>
      <c r="U43" s="80"/>
    </row>
    <row r="44" spans="1:21" x14ac:dyDescent="0.7">
      <c r="A44" s="84"/>
      <c r="B44" s="81" t="s">
        <v>276</v>
      </c>
      <c r="C44" s="79" t="s">
        <v>12</v>
      </c>
      <c r="D44" s="79" t="s">
        <v>222</v>
      </c>
      <c r="E44" s="79">
        <v>-1</v>
      </c>
      <c r="F44" s="79">
        <v>0.72</v>
      </c>
      <c r="G44" s="79"/>
      <c r="H44" s="79">
        <v>2.0699999999999998</v>
      </c>
      <c r="I44" s="79">
        <f>PRODUCT(E44:H44)</f>
        <v>-1.4903999999999997</v>
      </c>
      <c r="J44" s="80"/>
      <c r="L44" s="84"/>
      <c r="M44" s="81" t="s">
        <v>276</v>
      </c>
      <c r="N44" s="133" t="s">
        <v>12</v>
      </c>
      <c r="O44" s="79" t="s">
        <v>222</v>
      </c>
      <c r="P44" s="133">
        <v>-1</v>
      </c>
      <c r="Q44" s="133">
        <v>0.9</v>
      </c>
      <c r="R44" s="133"/>
      <c r="S44" s="133">
        <v>2.13</v>
      </c>
      <c r="T44" s="79">
        <f>PRODUCT(P44:S44)</f>
        <v>-1.917</v>
      </c>
      <c r="U44" s="80"/>
    </row>
    <row r="45" spans="1:21" x14ac:dyDescent="0.7">
      <c r="A45" s="84"/>
      <c r="B45" s="81" t="s">
        <v>276</v>
      </c>
      <c r="C45" s="79" t="s">
        <v>12</v>
      </c>
      <c r="D45" s="79" t="s">
        <v>222</v>
      </c>
      <c r="E45" s="79">
        <v>-1</v>
      </c>
      <c r="F45" s="79">
        <v>1.2150000000000001</v>
      </c>
      <c r="G45" s="79"/>
      <c r="H45" s="79">
        <v>2.0699999999999998</v>
      </c>
      <c r="I45" s="79">
        <f>PRODUCT(E45:H45)</f>
        <v>-2.51505</v>
      </c>
      <c r="J45" s="80"/>
      <c r="L45" s="84"/>
      <c r="M45" s="81" t="s">
        <v>285</v>
      </c>
      <c r="N45" s="133" t="s">
        <v>12</v>
      </c>
      <c r="O45" s="79" t="s">
        <v>222</v>
      </c>
      <c r="P45" s="133">
        <v>-1</v>
      </c>
      <c r="Q45" s="133">
        <v>1.19</v>
      </c>
      <c r="R45" s="133"/>
      <c r="S45" s="133">
        <v>1.1599999999999999</v>
      </c>
      <c r="T45" s="79">
        <f>PRODUCT(P45:S45)</f>
        <v>-1.3803999999999998</v>
      </c>
      <c r="U45" s="80"/>
    </row>
    <row r="46" spans="1:21" x14ac:dyDescent="0.7">
      <c r="A46" s="84">
        <v>6</v>
      </c>
      <c r="B46" s="109" t="s">
        <v>181</v>
      </c>
      <c r="C46" s="79"/>
      <c r="D46" s="79"/>
      <c r="E46" s="79"/>
      <c r="F46" s="79"/>
      <c r="G46" s="79"/>
      <c r="H46" s="79"/>
      <c r="I46" s="79">
        <f t="shared" si="1"/>
        <v>0</v>
      </c>
      <c r="J46" s="80"/>
      <c r="L46" s="84" t="s">
        <v>70</v>
      </c>
      <c r="M46" s="183" t="s">
        <v>295</v>
      </c>
      <c r="N46" s="133"/>
      <c r="O46" s="133"/>
      <c r="P46" s="133"/>
      <c r="Q46" s="133"/>
      <c r="R46" s="133"/>
      <c r="S46" s="133"/>
      <c r="T46" s="81"/>
      <c r="U46" s="80"/>
    </row>
    <row r="47" spans="1:21" x14ac:dyDescent="0.7">
      <c r="A47" s="84"/>
      <c r="B47" s="81" t="s">
        <v>267</v>
      </c>
      <c r="C47" s="79" t="s">
        <v>12</v>
      </c>
      <c r="D47" s="79" t="s">
        <v>222</v>
      </c>
      <c r="E47" s="79">
        <v>2</v>
      </c>
      <c r="F47" s="79">
        <v>6</v>
      </c>
      <c r="G47" s="79"/>
      <c r="H47" s="79">
        <v>2.75</v>
      </c>
      <c r="I47" s="79">
        <f t="shared" si="1"/>
        <v>33</v>
      </c>
      <c r="J47" s="80"/>
      <c r="L47" s="84"/>
      <c r="M47" s="203" t="s">
        <v>267</v>
      </c>
      <c r="N47" s="133" t="s">
        <v>12</v>
      </c>
      <c r="O47" s="133" t="s">
        <v>223</v>
      </c>
      <c r="P47" s="133">
        <f>2+2</f>
        <v>4</v>
      </c>
      <c r="Q47" s="133">
        <v>3.1</v>
      </c>
      <c r="R47" s="133"/>
      <c r="S47" s="133">
        <v>4.5</v>
      </c>
      <c r="T47" s="79">
        <f t="shared" ref="T47:T54" si="3">PRODUCT(P47:S47)</f>
        <v>55.800000000000004</v>
      </c>
      <c r="U47" s="80"/>
    </row>
    <row r="48" spans="1:21" x14ac:dyDescent="0.7">
      <c r="A48" s="84"/>
      <c r="B48" s="81" t="s">
        <v>268</v>
      </c>
      <c r="C48" s="79" t="s">
        <v>12</v>
      </c>
      <c r="D48" s="79" t="s">
        <v>222</v>
      </c>
      <c r="E48" s="79">
        <v>1</v>
      </c>
      <c r="F48" s="79">
        <v>4.03</v>
      </c>
      <c r="G48" s="79"/>
      <c r="H48" s="79">
        <v>2.75</v>
      </c>
      <c r="I48" s="79">
        <f t="shared" si="1"/>
        <v>11.082500000000001</v>
      </c>
      <c r="J48" s="80"/>
      <c r="L48" s="84"/>
      <c r="M48" s="81" t="s">
        <v>293</v>
      </c>
      <c r="N48" s="133" t="s">
        <v>12</v>
      </c>
      <c r="O48" s="133" t="s">
        <v>223</v>
      </c>
      <c r="P48" s="133">
        <f>2+2</f>
        <v>4</v>
      </c>
      <c r="Q48" s="133">
        <v>3.1</v>
      </c>
      <c r="R48" s="133"/>
      <c r="S48" s="133">
        <v>4.5</v>
      </c>
      <c r="T48" s="79">
        <f t="shared" si="3"/>
        <v>55.800000000000004</v>
      </c>
      <c r="U48" s="80"/>
    </row>
    <row r="49" spans="1:21" x14ac:dyDescent="0.7">
      <c r="A49" s="84"/>
      <c r="B49" s="81" t="s">
        <v>272</v>
      </c>
      <c r="C49" s="79" t="s">
        <v>12</v>
      </c>
      <c r="D49" s="79" t="s">
        <v>222</v>
      </c>
      <c r="E49" s="79">
        <v>1</v>
      </c>
      <c r="F49" s="79">
        <v>6</v>
      </c>
      <c r="G49" s="79"/>
      <c r="H49" s="79">
        <v>4.03</v>
      </c>
      <c r="I49" s="79">
        <f t="shared" si="1"/>
        <v>24.18</v>
      </c>
      <c r="J49" s="80"/>
      <c r="L49" s="84"/>
      <c r="M49" s="81" t="s">
        <v>273</v>
      </c>
      <c r="N49" s="133" t="s">
        <v>12</v>
      </c>
      <c r="O49" s="133" t="s">
        <v>223</v>
      </c>
      <c r="P49" s="133">
        <f>1+1</f>
        <v>2</v>
      </c>
      <c r="Q49" s="133">
        <v>3.1</v>
      </c>
      <c r="R49" s="133"/>
      <c r="S49" s="133">
        <v>1</v>
      </c>
      <c r="T49" s="79">
        <f t="shared" si="3"/>
        <v>6.2</v>
      </c>
      <c r="U49" s="80"/>
    </row>
    <row r="50" spans="1:21" x14ac:dyDescent="0.7">
      <c r="A50" s="84"/>
      <c r="B50" s="81" t="s">
        <v>296</v>
      </c>
      <c r="C50" s="79" t="s">
        <v>12</v>
      </c>
      <c r="D50" s="79" t="s">
        <v>222</v>
      </c>
      <c r="E50" s="79">
        <v>-1</v>
      </c>
      <c r="F50" s="79">
        <v>1.24</v>
      </c>
      <c r="G50" s="79"/>
      <c r="H50" s="79">
        <v>1.31</v>
      </c>
      <c r="I50" s="79">
        <f t="shared" si="1"/>
        <v>-1.6244000000000001</v>
      </c>
      <c r="J50" s="80"/>
      <c r="L50" s="84"/>
      <c r="M50" s="81" t="s">
        <v>273</v>
      </c>
      <c r="N50" s="133" t="s">
        <v>12</v>
      </c>
      <c r="O50" s="133" t="s">
        <v>223</v>
      </c>
      <c r="P50" s="133">
        <f>1+1</f>
        <v>2</v>
      </c>
      <c r="Q50" s="133">
        <v>1.5</v>
      </c>
      <c r="R50" s="133"/>
      <c r="S50" s="133">
        <v>1</v>
      </c>
      <c r="T50" s="79">
        <f t="shared" si="3"/>
        <v>3</v>
      </c>
      <c r="U50" s="80"/>
    </row>
    <row r="51" spans="1:21" x14ac:dyDescent="0.7">
      <c r="A51" s="84"/>
      <c r="B51" s="81" t="s">
        <v>297</v>
      </c>
      <c r="C51" s="79" t="s">
        <v>12</v>
      </c>
      <c r="D51" s="79" t="s">
        <v>222</v>
      </c>
      <c r="E51" s="79">
        <v>-1</v>
      </c>
      <c r="F51" s="79">
        <v>1.83</v>
      </c>
      <c r="G51" s="79"/>
      <c r="H51" s="79">
        <v>1.26</v>
      </c>
      <c r="I51" s="79">
        <f t="shared" si="1"/>
        <v>-2.3058000000000001</v>
      </c>
      <c r="J51" s="80"/>
      <c r="L51" s="84"/>
      <c r="M51" s="81" t="s">
        <v>273</v>
      </c>
      <c r="N51" s="133" t="s">
        <v>12</v>
      </c>
      <c r="O51" s="133" t="s">
        <v>223</v>
      </c>
      <c r="P51" s="133">
        <f>1+1</f>
        <v>2</v>
      </c>
      <c r="Q51" s="133">
        <v>1.2</v>
      </c>
      <c r="R51" s="133"/>
      <c r="S51" s="133">
        <v>1</v>
      </c>
      <c r="T51" s="79">
        <f t="shared" si="3"/>
        <v>2.4</v>
      </c>
      <c r="U51" s="80"/>
    </row>
    <row r="52" spans="1:21" x14ac:dyDescent="0.7">
      <c r="A52" s="84"/>
      <c r="B52" s="81" t="s">
        <v>276</v>
      </c>
      <c r="C52" s="79" t="s">
        <v>12</v>
      </c>
      <c r="D52" s="79" t="s">
        <v>222</v>
      </c>
      <c r="E52" s="79">
        <v>-1</v>
      </c>
      <c r="F52" s="79">
        <v>1.43</v>
      </c>
      <c r="G52" s="79"/>
      <c r="H52" s="79">
        <v>1.96</v>
      </c>
      <c r="I52" s="79">
        <f t="shared" si="1"/>
        <v>-2.8028</v>
      </c>
      <c r="J52" s="80"/>
      <c r="L52" s="84"/>
      <c r="M52" s="81" t="s">
        <v>276</v>
      </c>
      <c r="N52" s="133" t="s">
        <v>12</v>
      </c>
      <c r="O52" s="133" t="s">
        <v>223</v>
      </c>
      <c r="P52" s="133">
        <f>-(1+1)</f>
        <v>-2</v>
      </c>
      <c r="Q52" s="133">
        <v>1.06</v>
      </c>
      <c r="R52" s="133"/>
      <c r="S52" s="133">
        <v>2.0299999999999998</v>
      </c>
      <c r="T52" s="79">
        <f t="shared" si="3"/>
        <v>-4.3035999999999994</v>
      </c>
      <c r="U52" s="80"/>
    </row>
    <row r="53" spans="1:21" x14ac:dyDescent="0.7">
      <c r="A53" s="84">
        <v>7</v>
      </c>
      <c r="B53" s="109" t="s">
        <v>298</v>
      </c>
      <c r="C53" s="79"/>
      <c r="D53" s="79"/>
      <c r="E53" s="79"/>
      <c r="F53" s="79"/>
      <c r="G53" s="79"/>
      <c r="H53" s="79"/>
      <c r="I53" s="79"/>
      <c r="J53" s="80"/>
      <c r="L53" s="84"/>
      <c r="M53" s="81" t="s">
        <v>297</v>
      </c>
      <c r="N53" s="133" t="s">
        <v>12</v>
      </c>
      <c r="O53" s="133" t="s">
        <v>223</v>
      </c>
      <c r="P53" s="133">
        <f>-(2+2)</f>
        <v>-4</v>
      </c>
      <c r="Q53" s="133">
        <v>0.91</v>
      </c>
      <c r="R53" s="133"/>
      <c r="S53" s="133">
        <v>0.96499999999999997</v>
      </c>
      <c r="T53" s="79">
        <f t="shared" si="3"/>
        <v>-3.5125999999999999</v>
      </c>
      <c r="U53" s="80"/>
    </row>
    <row r="54" spans="1:21" x14ac:dyDescent="0.7">
      <c r="A54" s="84"/>
      <c r="B54" s="81" t="s">
        <v>267</v>
      </c>
      <c r="C54" s="79" t="s">
        <v>12</v>
      </c>
      <c r="D54" s="79" t="s">
        <v>222</v>
      </c>
      <c r="E54" s="79">
        <v>2</v>
      </c>
      <c r="F54" s="79">
        <v>3.17</v>
      </c>
      <c r="G54" s="79"/>
      <c r="H54" s="79">
        <v>0.8</v>
      </c>
      <c r="I54" s="79">
        <f>PRODUCT(E54:H54)</f>
        <v>5.0720000000000001</v>
      </c>
      <c r="J54" s="80"/>
      <c r="L54" s="84"/>
      <c r="M54" s="81" t="s">
        <v>296</v>
      </c>
      <c r="N54" s="133" t="s">
        <v>12</v>
      </c>
      <c r="O54" s="133" t="s">
        <v>223</v>
      </c>
      <c r="P54" s="133">
        <f>-(1+1)</f>
        <v>-2</v>
      </c>
      <c r="Q54" s="133">
        <v>1</v>
      </c>
      <c r="R54" s="133"/>
      <c r="S54" s="133">
        <v>1.2</v>
      </c>
      <c r="T54" s="79">
        <f t="shared" si="3"/>
        <v>-2.4</v>
      </c>
      <c r="U54" s="80"/>
    </row>
    <row r="55" spans="1:21" x14ac:dyDescent="0.7">
      <c r="A55" s="84"/>
      <c r="B55" s="81" t="s">
        <v>268</v>
      </c>
      <c r="C55" s="79" t="s">
        <v>12</v>
      </c>
      <c r="D55" s="79" t="s">
        <v>222</v>
      </c>
      <c r="E55" s="79">
        <v>4</v>
      </c>
      <c r="F55" s="79">
        <v>1.79</v>
      </c>
      <c r="G55" s="79"/>
      <c r="H55" s="79">
        <v>0.8</v>
      </c>
      <c r="I55" s="79">
        <f>PRODUCT(E55:H55)</f>
        <v>5.7280000000000006</v>
      </c>
      <c r="J55" s="80"/>
      <c r="L55" s="84" t="s">
        <v>73</v>
      </c>
      <c r="M55" s="183" t="s">
        <v>299</v>
      </c>
      <c r="N55" s="133"/>
      <c r="O55" s="133"/>
      <c r="P55" s="133"/>
      <c r="Q55" s="133"/>
      <c r="R55" s="133"/>
      <c r="S55" s="133"/>
      <c r="T55" s="81"/>
      <c r="U55" s="80"/>
    </row>
    <row r="56" spans="1:21" x14ac:dyDescent="0.7">
      <c r="A56" s="84"/>
      <c r="B56" s="81" t="s">
        <v>272</v>
      </c>
      <c r="C56" s="79" t="s">
        <v>12</v>
      </c>
      <c r="D56" s="79" t="s">
        <v>222</v>
      </c>
      <c r="E56" s="79">
        <v>1</v>
      </c>
      <c r="F56" s="79">
        <v>3.17</v>
      </c>
      <c r="G56" s="79"/>
      <c r="H56" s="79">
        <v>1.79</v>
      </c>
      <c r="I56" s="79">
        <f>PRODUCT(E56:H56)</f>
        <v>5.6742999999999997</v>
      </c>
      <c r="J56" s="80"/>
      <c r="L56" s="84"/>
      <c r="M56" s="203" t="s">
        <v>267</v>
      </c>
      <c r="N56" s="133" t="s">
        <v>12</v>
      </c>
      <c r="O56" s="133" t="s">
        <v>223</v>
      </c>
      <c r="P56" s="133">
        <f>2+2</f>
        <v>4</v>
      </c>
      <c r="Q56" s="133">
        <v>3.18</v>
      </c>
      <c r="R56" s="133"/>
      <c r="S56" s="133">
        <v>4.5</v>
      </c>
      <c r="T56" s="79">
        <f t="shared" ref="T56:T61" si="4">PRODUCT(P56:S56)</f>
        <v>57.24</v>
      </c>
      <c r="U56" s="80"/>
    </row>
    <row r="57" spans="1:21" x14ac:dyDescent="0.7">
      <c r="A57" s="84">
        <v>8</v>
      </c>
      <c r="B57" s="109" t="s">
        <v>300</v>
      </c>
      <c r="C57" s="79"/>
      <c r="D57" s="79"/>
      <c r="E57" s="79"/>
      <c r="F57" s="79"/>
      <c r="G57" s="79"/>
      <c r="H57" s="79"/>
      <c r="I57" s="79"/>
      <c r="J57" s="80"/>
      <c r="L57" s="84"/>
      <c r="M57" s="81" t="s">
        <v>293</v>
      </c>
      <c r="N57" s="133" t="s">
        <v>12</v>
      </c>
      <c r="O57" s="133" t="s">
        <v>223</v>
      </c>
      <c r="P57" s="133">
        <f>1+1</f>
        <v>2</v>
      </c>
      <c r="Q57" s="133">
        <v>4.0999999999999996</v>
      </c>
      <c r="R57" s="133"/>
      <c r="S57" s="133">
        <v>4</v>
      </c>
      <c r="T57" s="79">
        <f t="shared" si="4"/>
        <v>32.799999999999997</v>
      </c>
      <c r="U57" s="80"/>
    </row>
    <row r="58" spans="1:21" x14ac:dyDescent="0.7">
      <c r="A58" s="84"/>
      <c r="B58" s="81" t="s">
        <v>267</v>
      </c>
      <c r="C58" s="79" t="s">
        <v>12</v>
      </c>
      <c r="D58" s="79" t="s">
        <v>222</v>
      </c>
      <c r="E58" s="79">
        <v>2</v>
      </c>
      <c r="F58" s="79">
        <v>3.17</v>
      </c>
      <c r="G58" s="79"/>
      <c r="H58" s="79">
        <v>0.8</v>
      </c>
      <c r="I58" s="79">
        <f>PRODUCT(E58:H58)</f>
        <v>5.0720000000000001</v>
      </c>
      <c r="J58" s="80"/>
      <c r="L58" s="84"/>
      <c r="M58" s="81" t="s">
        <v>273</v>
      </c>
      <c r="N58" s="133" t="s">
        <v>12</v>
      </c>
      <c r="O58" s="133" t="s">
        <v>223</v>
      </c>
      <c r="P58" s="133">
        <f>1+1</f>
        <v>2</v>
      </c>
      <c r="Q58" s="133">
        <v>1.5</v>
      </c>
      <c r="R58" s="133"/>
      <c r="S58" s="133">
        <v>1</v>
      </c>
      <c r="T58" s="79">
        <f t="shared" si="4"/>
        <v>3</v>
      </c>
      <c r="U58" s="80"/>
    </row>
    <row r="59" spans="1:21" x14ac:dyDescent="0.7">
      <c r="A59" s="84"/>
      <c r="B59" s="81" t="s">
        <v>268</v>
      </c>
      <c r="C59" s="79" t="s">
        <v>12</v>
      </c>
      <c r="D59" s="79" t="s">
        <v>222</v>
      </c>
      <c r="E59" s="79">
        <v>4</v>
      </c>
      <c r="F59" s="79">
        <v>1.79</v>
      </c>
      <c r="G59" s="79"/>
      <c r="H59" s="79">
        <v>0.8</v>
      </c>
      <c r="I59" s="79">
        <f>PRODUCT(E59:H59)</f>
        <v>5.7280000000000006</v>
      </c>
      <c r="J59" s="80"/>
      <c r="L59" s="84"/>
      <c r="M59" s="81" t="s">
        <v>276</v>
      </c>
      <c r="N59" s="133" t="s">
        <v>12</v>
      </c>
      <c r="O59" s="133" t="s">
        <v>223</v>
      </c>
      <c r="P59" s="133">
        <f>-(1+1)</f>
        <v>-2</v>
      </c>
      <c r="Q59" s="133">
        <v>1.19</v>
      </c>
      <c r="R59" s="133"/>
      <c r="S59" s="133">
        <v>2.0249999999999999</v>
      </c>
      <c r="T59" s="79">
        <f t="shared" si="4"/>
        <v>-4.8194999999999997</v>
      </c>
      <c r="U59" s="80"/>
    </row>
    <row r="60" spans="1:21" x14ac:dyDescent="0.7">
      <c r="A60" s="84"/>
      <c r="B60" s="81" t="s">
        <v>272</v>
      </c>
      <c r="C60" s="79" t="s">
        <v>12</v>
      </c>
      <c r="D60" s="79" t="s">
        <v>222</v>
      </c>
      <c r="E60" s="79">
        <v>1</v>
      </c>
      <c r="F60" s="79">
        <v>3.17</v>
      </c>
      <c r="G60" s="79"/>
      <c r="H60" s="79">
        <v>1.79</v>
      </c>
      <c r="I60" s="79">
        <f>PRODUCT(E60:H60)</f>
        <v>5.6742999999999997</v>
      </c>
      <c r="J60" s="80"/>
      <c r="L60" s="84"/>
      <c r="M60" s="81" t="s">
        <v>301</v>
      </c>
      <c r="N60" s="133" t="s">
        <v>12</v>
      </c>
      <c r="O60" s="133" t="s">
        <v>223</v>
      </c>
      <c r="P60" s="133">
        <f>-(1+1)</f>
        <v>-2</v>
      </c>
      <c r="Q60" s="133">
        <v>1.1000000000000001</v>
      </c>
      <c r="R60" s="133"/>
      <c r="S60" s="133">
        <v>1.25</v>
      </c>
      <c r="T60" s="79">
        <f t="shared" si="4"/>
        <v>-2.75</v>
      </c>
      <c r="U60" s="80"/>
    </row>
    <row r="61" spans="1:21" x14ac:dyDescent="0.7">
      <c r="A61" s="84"/>
      <c r="B61" s="109" t="s">
        <v>302</v>
      </c>
      <c r="C61" s="79"/>
      <c r="D61" s="79"/>
      <c r="E61" s="79"/>
      <c r="F61" s="79"/>
      <c r="G61" s="79"/>
      <c r="H61" s="79"/>
      <c r="I61" s="79"/>
      <c r="J61" s="80"/>
      <c r="L61" s="84"/>
      <c r="M61" s="81" t="s">
        <v>296</v>
      </c>
      <c r="N61" s="133" t="s">
        <v>12</v>
      </c>
      <c r="O61" s="133" t="s">
        <v>223</v>
      </c>
      <c r="P61" s="133">
        <f>-(1+1)</f>
        <v>-2</v>
      </c>
      <c r="Q61" s="133">
        <v>1.17</v>
      </c>
      <c r="R61" s="133"/>
      <c r="S61" s="133">
        <v>1.1200000000000001</v>
      </c>
      <c r="T61" s="79">
        <f t="shared" si="4"/>
        <v>-2.6208</v>
      </c>
      <c r="U61" s="80"/>
    </row>
    <row r="62" spans="1:21" x14ac:dyDescent="0.7">
      <c r="A62" s="84"/>
      <c r="B62" s="81" t="s">
        <v>303</v>
      </c>
      <c r="C62" s="79" t="s">
        <v>12</v>
      </c>
      <c r="D62" s="79" t="s">
        <v>222</v>
      </c>
      <c r="E62" s="79">
        <v>4</v>
      </c>
      <c r="F62" s="79">
        <v>2</v>
      </c>
      <c r="G62" s="79"/>
      <c r="H62" s="79">
        <v>0.76</v>
      </c>
      <c r="I62" s="79">
        <f>PRODUCT(E62:H62)</f>
        <v>6.08</v>
      </c>
      <c r="J62" s="80"/>
      <c r="L62" s="84" t="s">
        <v>304</v>
      </c>
      <c r="M62" s="183" t="s">
        <v>305</v>
      </c>
      <c r="N62" s="133"/>
      <c r="O62" s="133"/>
      <c r="P62" s="133"/>
      <c r="Q62" s="133"/>
      <c r="R62" s="133"/>
      <c r="S62" s="133"/>
      <c r="T62" s="81"/>
      <c r="U62" s="80"/>
    </row>
    <row r="63" spans="1:21" x14ac:dyDescent="0.7">
      <c r="A63" s="84">
        <v>9</v>
      </c>
      <c r="B63" s="109" t="s">
        <v>306</v>
      </c>
      <c r="C63" s="79"/>
      <c r="D63" s="79"/>
      <c r="E63" s="79"/>
      <c r="F63" s="79"/>
      <c r="G63" s="79"/>
      <c r="H63" s="79"/>
      <c r="I63" s="79"/>
      <c r="J63" s="80"/>
      <c r="L63" s="84"/>
      <c r="M63" s="203" t="s">
        <v>267</v>
      </c>
      <c r="N63" s="133" t="s">
        <v>12</v>
      </c>
      <c r="O63" s="133" t="s">
        <v>223</v>
      </c>
      <c r="P63" s="133">
        <f>2+2</f>
        <v>4</v>
      </c>
      <c r="Q63" s="133">
        <v>5.0999999999999996</v>
      </c>
      <c r="R63" s="133"/>
      <c r="S63" s="133">
        <v>4.5</v>
      </c>
      <c r="T63" s="79">
        <f t="shared" ref="T63:T78" si="5">PRODUCT(P63:S63)</f>
        <v>91.8</v>
      </c>
      <c r="U63" s="80"/>
    </row>
    <row r="64" spans="1:21" x14ac:dyDescent="0.7">
      <c r="A64" s="84"/>
      <c r="B64" s="81" t="s">
        <v>267</v>
      </c>
      <c r="C64" s="79" t="s">
        <v>12</v>
      </c>
      <c r="D64" s="79" t="s">
        <v>222</v>
      </c>
      <c r="E64" s="79">
        <v>2</v>
      </c>
      <c r="F64" s="79">
        <v>3.17</v>
      </c>
      <c r="G64" s="79"/>
      <c r="H64" s="79">
        <v>0.8</v>
      </c>
      <c r="I64" s="79">
        <f>PRODUCT(E64:H64)</f>
        <v>5.0720000000000001</v>
      </c>
      <c r="J64" s="80"/>
      <c r="L64" s="84"/>
      <c r="M64" s="81" t="s">
        <v>268</v>
      </c>
      <c r="N64" s="133" t="s">
        <v>12</v>
      </c>
      <c r="O64" s="133" t="s">
        <v>223</v>
      </c>
      <c r="P64" s="133">
        <f>1+1</f>
        <v>2</v>
      </c>
      <c r="Q64" s="133">
        <v>16.2</v>
      </c>
      <c r="R64" s="133"/>
      <c r="S64" s="133">
        <v>4.5</v>
      </c>
      <c r="T64" s="79">
        <f t="shared" si="5"/>
        <v>145.79999999999998</v>
      </c>
      <c r="U64" s="80"/>
    </row>
    <row r="65" spans="1:21" x14ac:dyDescent="0.7">
      <c r="A65" s="84"/>
      <c r="B65" s="81" t="s">
        <v>268</v>
      </c>
      <c r="C65" s="79" t="s">
        <v>12</v>
      </c>
      <c r="D65" s="79" t="s">
        <v>222</v>
      </c>
      <c r="E65" s="79">
        <v>4</v>
      </c>
      <c r="F65" s="79">
        <v>1.79</v>
      </c>
      <c r="G65" s="79"/>
      <c r="H65" s="79">
        <v>0.8</v>
      </c>
      <c r="I65" s="79">
        <f>PRODUCT(E65:H65)</f>
        <v>5.7280000000000006</v>
      </c>
      <c r="J65" s="80"/>
      <c r="L65" s="84"/>
      <c r="M65" s="81" t="s">
        <v>307</v>
      </c>
      <c r="N65" s="133" t="s">
        <v>12</v>
      </c>
      <c r="O65" s="133" t="s">
        <v>223</v>
      </c>
      <c r="P65" s="133">
        <f>1+1</f>
        <v>2</v>
      </c>
      <c r="Q65" s="133">
        <v>16.2</v>
      </c>
      <c r="R65" s="133"/>
      <c r="S65" s="133">
        <v>4.5</v>
      </c>
      <c r="T65" s="79">
        <f t="shared" si="5"/>
        <v>145.79999999999998</v>
      </c>
      <c r="U65" s="80"/>
    </row>
    <row r="66" spans="1:21" x14ac:dyDescent="0.7">
      <c r="A66" s="84"/>
      <c r="B66" s="81" t="s">
        <v>272</v>
      </c>
      <c r="C66" s="79" t="s">
        <v>12</v>
      </c>
      <c r="D66" s="79" t="s">
        <v>222</v>
      </c>
      <c r="E66" s="79">
        <v>1</v>
      </c>
      <c r="F66" s="79">
        <v>3.17</v>
      </c>
      <c r="G66" s="79"/>
      <c r="H66" s="79">
        <v>1.79</v>
      </c>
      <c r="I66" s="79">
        <f>PRODUCT(E66:H66)</f>
        <v>5.6742999999999997</v>
      </c>
      <c r="J66" s="80"/>
      <c r="L66" s="84"/>
      <c r="M66" s="81" t="s">
        <v>308</v>
      </c>
      <c r="N66" s="133" t="s">
        <v>12</v>
      </c>
      <c r="O66" s="133" t="s">
        <v>223</v>
      </c>
      <c r="P66" s="133">
        <f>3+3</f>
        <v>6</v>
      </c>
      <c r="Q66" s="133">
        <v>2.2000000000000002</v>
      </c>
      <c r="R66" s="133"/>
      <c r="S66" s="133">
        <v>1</v>
      </c>
      <c r="T66" s="79">
        <f t="shared" si="5"/>
        <v>13.200000000000001</v>
      </c>
      <c r="U66" s="80"/>
    </row>
    <row r="67" spans="1:21" x14ac:dyDescent="0.7">
      <c r="A67" s="84">
        <v>10</v>
      </c>
      <c r="B67" s="109" t="s">
        <v>184</v>
      </c>
      <c r="C67" s="79"/>
      <c r="D67" s="79"/>
      <c r="E67" s="79"/>
      <c r="F67" s="79"/>
      <c r="G67" s="79"/>
      <c r="H67" s="79"/>
      <c r="I67" s="79">
        <f t="shared" si="1"/>
        <v>0</v>
      </c>
      <c r="J67" s="80"/>
      <c r="L67" s="84"/>
      <c r="M67" s="81" t="s">
        <v>309</v>
      </c>
      <c r="N67" s="133" t="s">
        <v>12</v>
      </c>
      <c r="O67" s="133" t="s">
        <v>223</v>
      </c>
      <c r="P67" s="133">
        <f>1+1</f>
        <v>2</v>
      </c>
      <c r="Q67" s="133">
        <v>1.5</v>
      </c>
      <c r="R67" s="133"/>
      <c r="S67" s="133">
        <v>1</v>
      </c>
      <c r="T67" s="79">
        <f t="shared" si="5"/>
        <v>3</v>
      </c>
      <c r="U67" s="80"/>
    </row>
    <row r="68" spans="1:21" x14ac:dyDescent="0.7">
      <c r="A68" s="84"/>
      <c r="B68" s="81" t="s">
        <v>293</v>
      </c>
      <c r="C68" s="79" t="s">
        <v>12</v>
      </c>
      <c r="D68" s="79" t="s">
        <v>222</v>
      </c>
      <c r="E68" s="79">
        <v>2</v>
      </c>
      <c r="F68" s="79">
        <v>1.8</v>
      </c>
      <c r="G68" s="79"/>
      <c r="H68" s="79">
        <v>2.7</v>
      </c>
      <c r="I68" s="79">
        <f t="shared" si="1"/>
        <v>9.7200000000000006</v>
      </c>
      <c r="J68" s="80"/>
      <c r="L68" s="84"/>
      <c r="M68" s="81" t="s">
        <v>310</v>
      </c>
      <c r="N68" s="133" t="s">
        <v>12</v>
      </c>
      <c r="O68" s="133" t="s">
        <v>223</v>
      </c>
      <c r="P68" s="133">
        <f>1+1</f>
        <v>2</v>
      </c>
      <c r="Q68" s="133">
        <v>1.5</v>
      </c>
      <c r="R68" s="133"/>
      <c r="S68" s="133">
        <v>1</v>
      </c>
      <c r="T68" s="79">
        <f t="shared" si="5"/>
        <v>3</v>
      </c>
      <c r="U68" s="80"/>
    </row>
    <row r="69" spans="1:21" x14ac:dyDescent="0.7">
      <c r="A69" s="84"/>
      <c r="B69" s="81" t="s">
        <v>267</v>
      </c>
      <c r="C69" s="79" t="s">
        <v>12</v>
      </c>
      <c r="D69" s="79" t="s">
        <v>222</v>
      </c>
      <c r="E69" s="79">
        <v>2</v>
      </c>
      <c r="F69" s="79">
        <v>4.2</v>
      </c>
      <c r="G69" s="79"/>
      <c r="H69" s="79">
        <v>2.7</v>
      </c>
      <c r="I69" s="79">
        <f t="shared" si="1"/>
        <v>22.680000000000003</v>
      </c>
      <c r="J69" s="80"/>
      <c r="L69" s="84"/>
      <c r="M69" s="81" t="s">
        <v>311</v>
      </c>
      <c r="N69" s="133" t="s">
        <v>12</v>
      </c>
      <c r="O69" s="133" t="s">
        <v>223</v>
      </c>
      <c r="P69" s="133">
        <f>5+5</f>
        <v>10</v>
      </c>
      <c r="Q69" s="133">
        <v>0.9</v>
      </c>
      <c r="R69" s="133"/>
      <c r="S69" s="133">
        <v>1</v>
      </c>
      <c r="T69" s="79">
        <f t="shared" si="5"/>
        <v>9</v>
      </c>
      <c r="U69" s="80"/>
    </row>
    <row r="70" spans="1:21" x14ac:dyDescent="0.7">
      <c r="A70" s="84"/>
      <c r="B70" s="81" t="s">
        <v>285</v>
      </c>
      <c r="C70" s="79" t="s">
        <v>12</v>
      </c>
      <c r="D70" s="79" t="s">
        <v>222</v>
      </c>
      <c r="E70" s="79">
        <v>-1</v>
      </c>
      <c r="F70" s="79">
        <v>1.33</v>
      </c>
      <c r="G70" s="79"/>
      <c r="H70" s="79">
        <v>1.25</v>
      </c>
      <c r="I70" s="79">
        <f t="shared" si="1"/>
        <v>-1.6625000000000001</v>
      </c>
      <c r="J70" s="80"/>
      <c r="L70" s="84"/>
      <c r="M70" s="81" t="s">
        <v>312</v>
      </c>
      <c r="N70" s="133" t="s">
        <v>12</v>
      </c>
      <c r="O70" s="133" t="s">
        <v>223</v>
      </c>
      <c r="P70" s="133">
        <f>1+1</f>
        <v>2</v>
      </c>
      <c r="Q70" s="133">
        <v>1.1599999999999999</v>
      </c>
      <c r="R70" s="133"/>
      <c r="S70" s="133">
        <v>1.2</v>
      </c>
      <c r="T70" s="79">
        <f t="shared" si="5"/>
        <v>2.7839999999999998</v>
      </c>
      <c r="U70" s="80"/>
    </row>
    <row r="71" spans="1:21" x14ac:dyDescent="0.7">
      <c r="A71" s="84"/>
      <c r="B71" s="81" t="s">
        <v>276</v>
      </c>
      <c r="C71" s="79" t="s">
        <v>12</v>
      </c>
      <c r="D71" s="79" t="s">
        <v>222</v>
      </c>
      <c r="E71" s="79">
        <v>-1</v>
      </c>
      <c r="F71" s="79">
        <v>0.97</v>
      </c>
      <c r="G71" s="79"/>
      <c r="H71" s="79">
        <v>2.06</v>
      </c>
      <c r="I71" s="79">
        <f t="shared" si="1"/>
        <v>-1.9982</v>
      </c>
      <c r="J71" s="80"/>
      <c r="L71" s="84"/>
      <c r="M71" s="81" t="s">
        <v>313</v>
      </c>
      <c r="N71" s="133" t="s">
        <v>12</v>
      </c>
      <c r="O71" s="133" t="s">
        <v>223</v>
      </c>
      <c r="P71" s="133">
        <f>-(2+2)</f>
        <v>-4</v>
      </c>
      <c r="Q71" s="133">
        <v>1.1599999999999999</v>
      </c>
      <c r="R71" s="133"/>
      <c r="S71" s="133">
        <v>2.4900000000000002</v>
      </c>
      <c r="T71" s="79">
        <f t="shared" si="5"/>
        <v>-11.553599999999999</v>
      </c>
      <c r="U71" s="80"/>
    </row>
    <row r="72" spans="1:21" x14ac:dyDescent="0.7">
      <c r="A72" s="84"/>
      <c r="B72" s="81" t="s">
        <v>272</v>
      </c>
      <c r="C72" s="79" t="s">
        <v>12</v>
      </c>
      <c r="D72" s="79" t="s">
        <v>222</v>
      </c>
      <c r="E72" s="79">
        <v>1</v>
      </c>
      <c r="F72" s="79">
        <v>1.8</v>
      </c>
      <c r="G72" s="79"/>
      <c r="H72" s="79">
        <v>4.2</v>
      </c>
      <c r="I72" s="79">
        <f t="shared" si="1"/>
        <v>7.5600000000000005</v>
      </c>
      <c r="J72" s="80"/>
      <c r="L72" s="84"/>
      <c r="M72" s="81" t="s">
        <v>314</v>
      </c>
      <c r="N72" s="133" t="s">
        <v>12</v>
      </c>
      <c r="O72" s="133" t="s">
        <v>223</v>
      </c>
      <c r="P72" s="133">
        <f>-(2+2)</f>
        <v>-4</v>
      </c>
      <c r="Q72" s="133">
        <v>1.8</v>
      </c>
      <c r="R72" s="133"/>
      <c r="S72" s="133">
        <v>0.64</v>
      </c>
      <c r="T72" s="79">
        <f t="shared" si="5"/>
        <v>-4.6080000000000005</v>
      </c>
      <c r="U72" s="80"/>
    </row>
    <row r="73" spans="1:21" x14ac:dyDescent="0.7">
      <c r="A73" s="84" t="s">
        <v>26</v>
      </c>
      <c r="B73" s="183" t="s">
        <v>185</v>
      </c>
      <c r="C73" s="79"/>
      <c r="D73" s="79"/>
      <c r="E73" s="79"/>
      <c r="F73" s="79"/>
      <c r="G73" s="79"/>
      <c r="H73" s="79"/>
      <c r="I73" s="79"/>
      <c r="J73" s="80"/>
      <c r="L73" s="84"/>
      <c r="M73" s="81" t="s">
        <v>315</v>
      </c>
      <c r="N73" s="133" t="s">
        <v>12</v>
      </c>
      <c r="O73" s="133" t="s">
        <v>223</v>
      </c>
      <c r="P73" s="133">
        <f>-(1+1)</f>
        <v>-2</v>
      </c>
      <c r="Q73" s="133">
        <v>1.8</v>
      </c>
      <c r="R73" s="133"/>
      <c r="S73" s="133">
        <v>0.64</v>
      </c>
      <c r="T73" s="79">
        <f t="shared" si="5"/>
        <v>-2.3040000000000003</v>
      </c>
      <c r="U73" s="80"/>
    </row>
    <row r="74" spans="1:21" x14ac:dyDescent="0.7">
      <c r="A74" s="84">
        <v>1</v>
      </c>
      <c r="B74" s="109" t="s">
        <v>186</v>
      </c>
      <c r="C74" s="79"/>
      <c r="D74" s="79"/>
      <c r="E74" s="79"/>
      <c r="F74" s="79"/>
      <c r="G74" s="79"/>
      <c r="H74" s="79"/>
      <c r="I74" s="79"/>
      <c r="J74" s="80"/>
      <c r="L74" s="84"/>
      <c r="M74" s="81" t="s">
        <v>316</v>
      </c>
      <c r="N74" s="133" t="s">
        <v>12</v>
      </c>
      <c r="O74" s="133" t="s">
        <v>223</v>
      </c>
      <c r="P74" s="133">
        <f>-(5+5)</f>
        <v>-10</v>
      </c>
      <c r="Q74" s="133">
        <v>0.64</v>
      </c>
      <c r="R74" s="133"/>
      <c r="S74" s="133">
        <v>0.61499999999999999</v>
      </c>
      <c r="T74" s="79">
        <f t="shared" si="5"/>
        <v>-3.9359999999999999</v>
      </c>
      <c r="U74" s="80"/>
    </row>
    <row r="75" spans="1:21" x14ac:dyDescent="0.7">
      <c r="A75" s="84"/>
      <c r="B75" s="81" t="s">
        <v>317</v>
      </c>
      <c r="C75" s="79" t="s">
        <v>12</v>
      </c>
      <c r="D75" s="79" t="s">
        <v>222</v>
      </c>
      <c r="E75" s="79">
        <v>2</v>
      </c>
      <c r="F75" s="79">
        <f>3.92</f>
        <v>3.92</v>
      </c>
      <c r="G75" s="79"/>
      <c r="H75" s="79">
        <v>2.83</v>
      </c>
      <c r="I75" s="79">
        <f>PRODUCT(E75:H75)</f>
        <v>22.187200000000001</v>
      </c>
      <c r="J75" s="80"/>
      <c r="L75" s="84"/>
      <c r="M75" s="81" t="s">
        <v>318</v>
      </c>
      <c r="N75" s="133" t="s">
        <v>12</v>
      </c>
      <c r="O75" s="133" t="s">
        <v>223</v>
      </c>
      <c r="P75" s="133">
        <f>-(2+2)</f>
        <v>-4</v>
      </c>
      <c r="Q75" s="133">
        <v>1.1599999999999999</v>
      </c>
      <c r="R75" s="133"/>
      <c r="S75" s="133">
        <v>2.85</v>
      </c>
      <c r="T75" s="79">
        <f t="shared" si="5"/>
        <v>-13.224</v>
      </c>
      <c r="U75" s="80"/>
    </row>
    <row r="76" spans="1:21" x14ac:dyDescent="0.7">
      <c r="A76" s="84"/>
      <c r="B76" s="81" t="s">
        <v>319</v>
      </c>
      <c r="C76" s="79" t="s">
        <v>12</v>
      </c>
      <c r="D76" s="79" t="s">
        <v>222</v>
      </c>
      <c r="E76" s="79">
        <v>2</v>
      </c>
      <c r="F76" s="79">
        <v>2.97</v>
      </c>
      <c r="G76" s="79"/>
      <c r="H76" s="79">
        <v>2.83</v>
      </c>
      <c r="I76" s="79">
        <f>PRODUCT(E76:H76)</f>
        <v>16.810200000000002</v>
      </c>
      <c r="J76" s="80"/>
      <c r="L76" s="84"/>
      <c r="M76" s="81" t="s">
        <v>320</v>
      </c>
      <c r="N76" s="133" t="s">
        <v>12</v>
      </c>
      <c r="O76" s="133" t="s">
        <v>223</v>
      </c>
      <c r="P76" s="133">
        <f>-(2+2)</f>
        <v>-4</v>
      </c>
      <c r="Q76" s="133">
        <v>0.99</v>
      </c>
      <c r="R76" s="133"/>
      <c r="S76" s="133">
        <v>2.4900000000000002</v>
      </c>
      <c r="T76" s="79">
        <f t="shared" si="5"/>
        <v>-9.8604000000000003</v>
      </c>
      <c r="U76" s="80"/>
    </row>
    <row r="77" spans="1:21" x14ac:dyDescent="0.7">
      <c r="A77" s="84"/>
      <c r="B77" s="81" t="s">
        <v>312</v>
      </c>
      <c r="C77" s="79" t="s">
        <v>12</v>
      </c>
      <c r="D77" s="79" t="s">
        <v>222</v>
      </c>
      <c r="E77" s="79">
        <v>1</v>
      </c>
      <c r="F77" s="79">
        <v>3.92</v>
      </c>
      <c r="G77" s="79"/>
      <c r="H77" s="79">
        <v>2.97</v>
      </c>
      <c r="I77" s="79">
        <f>PRODUCT(E77:H77)</f>
        <v>11.6424</v>
      </c>
      <c r="J77" s="80"/>
      <c r="L77" s="84"/>
      <c r="M77" s="81" t="s">
        <v>296</v>
      </c>
      <c r="N77" s="133" t="s">
        <v>12</v>
      </c>
      <c r="O77" s="133" t="s">
        <v>223</v>
      </c>
      <c r="P77" s="133">
        <f>-(2+2)</f>
        <v>-4</v>
      </c>
      <c r="Q77" s="133">
        <v>1.17</v>
      </c>
      <c r="R77" s="133"/>
      <c r="S77" s="133">
        <v>1.1200000000000001</v>
      </c>
      <c r="T77" s="79">
        <f t="shared" si="5"/>
        <v>-5.2416</v>
      </c>
      <c r="U77" s="80"/>
    </row>
    <row r="78" spans="1:21" x14ac:dyDescent="0.7">
      <c r="A78" s="84"/>
      <c r="B78" s="81" t="s">
        <v>285</v>
      </c>
      <c r="C78" s="79" t="s">
        <v>12</v>
      </c>
      <c r="D78" s="79" t="s">
        <v>222</v>
      </c>
      <c r="E78" s="79">
        <v>-1</v>
      </c>
      <c r="F78" s="79">
        <v>1.25</v>
      </c>
      <c r="G78" s="79"/>
      <c r="H78" s="79">
        <v>1.29</v>
      </c>
      <c r="I78" s="79">
        <f>PRODUCT(E78:H78)</f>
        <v>-1.6125</v>
      </c>
      <c r="J78" s="80"/>
      <c r="L78" s="84"/>
      <c r="M78" s="81" t="s">
        <v>321</v>
      </c>
      <c r="N78" s="133" t="s">
        <v>12</v>
      </c>
      <c r="O78" s="133" t="s">
        <v>223</v>
      </c>
      <c r="P78" s="133">
        <f>-(1+1)</f>
        <v>-2</v>
      </c>
      <c r="Q78" s="133">
        <v>0.6</v>
      </c>
      <c r="R78" s="133"/>
      <c r="S78" s="133">
        <v>2.2000000000000002</v>
      </c>
      <c r="T78" s="79">
        <f t="shared" si="5"/>
        <v>-2.64</v>
      </c>
      <c r="U78" s="80"/>
    </row>
    <row r="79" spans="1:21" ht="17.5" thickBot="1" x14ac:dyDescent="0.75">
      <c r="A79" s="84"/>
      <c r="B79" s="81" t="s">
        <v>276</v>
      </c>
      <c r="C79" s="79" t="s">
        <v>12</v>
      </c>
      <c r="D79" s="79" t="s">
        <v>222</v>
      </c>
      <c r="E79" s="79">
        <v>-1</v>
      </c>
      <c r="F79" s="79">
        <v>0.97</v>
      </c>
      <c r="G79" s="79"/>
      <c r="H79" s="79">
        <v>2.1800000000000002</v>
      </c>
      <c r="I79" s="79">
        <f>PRODUCT(E79:H79)</f>
        <v>-2.1146000000000003</v>
      </c>
      <c r="J79" s="80"/>
      <c r="L79" s="402" t="s">
        <v>322</v>
      </c>
      <c r="M79" s="403"/>
      <c r="N79" s="403"/>
      <c r="O79" s="403"/>
      <c r="P79" s="403"/>
      <c r="Q79" s="403"/>
      <c r="R79" s="403"/>
      <c r="S79" s="404"/>
      <c r="T79" s="204">
        <f>SUM(T5:T78)</f>
        <v>1295.8090000000002</v>
      </c>
      <c r="U79" s="161"/>
    </row>
    <row r="80" spans="1:21" x14ac:dyDescent="0.7">
      <c r="A80" s="84">
        <v>2</v>
      </c>
      <c r="B80" s="109" t="s">
        <v>188</v>
      </c>
      <c r="C80" s="79"/>
      <c r="D80" s="79"/>
      <c r="E80" s="79"/>
      <c r="F80" s="79"/>
      <c r="G80" s="79"/>
      <c r="H80" s="79"/>
      <c r="I80" s="79"/>
      <c r="J80" s="80"/>
    </row>
    <row r="81" spans="1:12" x14ac:dyDescent="0.7">
      <c r="A81" s="84"/>
      <c r="B81" s="81" t="s">
        <v>317</v>
      </c>
      <c r="C81" s="79" t="s">
        <v>12</v>
      </c>
      <c r="D81" s="79" t="s">
        <v>222</v>
      </c>
      <c r="E81" s="79">
        <v>2</v>
      </c>
      <c r="F81" s="79">
        <v>3.93</v>
      </c>
      <c r="G81" s="79"/>
      <c r="H81" s="79">
        <v>2.83</v>
      </c>
      <c r="I81" s="79">
        <f>PRODUCT(E81:H81)</f>
        <v>22.2438</v>
      </c>
      <c r="J81" s="80"/>
      <c r="L81" s="76"/>
    </row>
    <row r="82" spans="1:12" x14ac:dyDescent="0.7">
      <c r="A82" s="84"/>
      <c r="B82" s="81" t="s">
        <v>319</v>
      </c>
      <c r="C82" s="79" t="s">
        <v>12</v>
      </c>
      <c r="D82" s="79" t="s">
        <v>222</v>
      </c>
      <c r="E82" s="79">
        <v>2</v>
      </c>
      <c r="F82" s="79">
        <v>3.867</v>
      </c>
      <c r="G82" s="79"/>
      <c r="H82" s="79">
        <v>2.83</v>
      </c>
      <c r="I82" s="79">
        <f>PRODUCT(E82:H82)</f>
        <v>21.887219999999999</v>
      </c>
      <c r="J82" s="80"/>
    </row>
    <row r="83" spans="1:12" x14ac:dyDescent="0.7">
      <c r="A83" s="84"/>
      <c r="B83" s="81" t="s">
        <v>312</v>
      </c>
      <c r="C83" s="79" t="s">
        <v>12</v>
      </c>
      <c r="D83" s="79" t="s">
        <v>222</v>
      </c>
      <c r="E83" s="79">
        <v>1</v>
      </c>
      <c r="F83" s="79">
        <v>3.93</v>
      </c>
      <c r="G83" s="79"/>
      <c r="H83" s="79">
        <v>3.867</v>
      </c>
      <c r="I83" s="79">
        <f>PRODUCT(E83:H83)</f>
        <v>15.19731</v>
      </c>
      <c r="J83" s="80"/>
    </row>
    <row r="84" spans="1:12" x14ac:dyDescent="0.7">
      <c r="A84" s="84"/>
      <c r="B84" s="81" t="s">
        <v>285</v>
      </c>
      <c r="C84" s="79" t="s">
        <v>12</v>
      </c>
      <c r="D84" s="79" t="s">
        <v>222</v>
      </c>
      <c r="E84" s="79">
        <v>-1</v>
      </c>
      <c r="F84" s="79">
        <v>1.25</v>
      </c>
      <c r="G84" s="79"/>
      <c r="H84" s="79">
        <v>1.29</v>
      </c>
      <c r="I84" s="79">
        <f>PRODUCT(E84:H84)</f>
        <v>-1.6125</v>
      </c>
      <c r="J84" s="80"/>
    </row>
    <row r="85" spans="1:12" x14ac:dyDescent="0.7">
      <c r="A85" s="84"/>
      <c r="B85" s="81" t="s">
        <v>276</v>
      </c>
      <c r="C85" s="79" t="s">
        <v>12</v>
      </c>
      <c r="D85" s="79" t="s">
        <v>222</v>
      </c>
      <c r="E85" s="79">
        <v>-1</v>
      </c>
      <c r="F85" s="79">
        <v>0.97</v>
      </c>
      <c r="G85" s="79"/>
      <c r="H85" s="79">
        <v>2.1800000000000002</v>
      </c>
      <c r="I85" s="79">
        <f>PRODUCT(E85:H85)</f>
        <v>-2.1146000000000003</v>
      </c>
      <c r="J85" s="80"/>
    </row>
    <row r="86" spans="1:12" x14ac:dyDescent="0.7">
      <c r="A86" s="84">
        <v>3</v>
      </c>
      <c r="B86" s="109" t="s">
        <v>189</v>
      </c>
      <c r="C86" s="79"/>
      <c r="D86" s="79"/>
      <c r="E86" s="79"/>
      <c r="F86" s="79"/>
      <c r="G86" s="79"/>
      <c r="H86" s="79"/>
      <c r="I86" s="79"/>
      <c r="J86" s="80"/>
    </row>
    <row r="87" spans="1:12" x14ac:dyDescent="0.7">
      <c r="A87" s="84"/>
      <c r="B87" s="81" t="s">
        <v>317</v>
      </c>
      <c r="C87" s="79" t="s">
        <v>12</v>
      </c>
      <c r="D87" s="79" t="s">
        <v>222</v>
      </c>
      <c r="E87" s="79">
        <v>2</v>
      </c>
      <c r="F87" s="79">
        <v>6.4</v>
      </c>
      <c r="G87" s="79"/>
      <c r="H87" s="79">
        <v>2.83</v>
      </c>
      <c r="I87" s="79">
        <f t="shared" ref="I87:I94" si="6">PRODUCT(E87:H87)</f>
        <v>36.224000000000004</v>
      </c>
      <c r="J87" s="80"/>
    </row>
    <row r="88" spans="1:12" x14ac:dyDescent="0.7">
      <c r="A88" s="84"/>
      <c r="B88" s="81" t="s">
        <v>323</v>
      </c>
      <c r="C88" s="79" t="s">
        <v>12</v>
      </c>
      <c r="D88" s="79" t="s">
        <v>222</v>
      </c>
      <c r="E88" s="79">
        <v>1</v>
      </c>
      <c r="F88" s="79">
        <f>1.08+7.9+1.08</f>
        <v>10.06</v>
      </c>
      <c r="G88" s="79"/>
      <c r="H88" s="79">
        <v>0.8</v>
      </c>
      <c r="I88" s="79">
        <f t="shared" si="6"/>
        <v>8.048</v>
      </c>
      <c r="J88" s="80"/>
    </row>
    <row r="89" spans="1:12" x14ac:dyDescent="0.7">
      <c r="A89" s="84"/>
      <c r="B89" s="81" t="s">
        <v>324</v>
      </c>
      <c r="C89" s="79" t="s">
        <v>12</v>
      </c>
      <c r="D89" s="79" t="s">
        <v>222</v>
      </c>
      <c r="E89" s="79">
        <v>1</v>
      </c>
      <c r="F89" s="79">
        <v>7.9</v>
      </c>
      <c r="G89" s="79"/>
      <c r="H89" s="79">
        <v>2.83</v>
      </c>
      <c r="I89" s="79">
        <f t="shared" si="6"/>
        <v>22.357000000000003</v>
      </c>
      <c r="J89" s="80"/>
    </row>
    <row r="90" spans="1:12" x14ac:dyDescent="0.7">
      <c r="A90" s="84"/>
      <c r="B90" s="81" t="s">
        <v>325</v>
      </c>
      <c r="C90" s="79" t="s">
        <v>12</v>
      </c>
      <c r="D90" s="79" t="s">
        <v>222</v>
      </c>
      <c r="E90" s="79">
        <v>2</v>
      </c>
      <c r="F90" s="79">
        <v>1.0900000000000001</v>
      </c>
      <c r="G90" s="79"/>
      <c r="H90" s="79">
        <v>2.5249999999999999</v>
      </c>
      <c r="I90" s="79">
        <f t="shared" si="6"/>
        <v>5.5045000000000002</v>
      </c>
      <c r="J90" s="80"/>
    </row>
    <row r="91" spans="1:12" x14ac:dyDescent="0.7">
      <c r="A91" s="84"/>
      <c r="B91" s="157" t="s">
        <v>326</v>
      </c>
      <c r="C91" s="79" t="s">
        <v>12</v>
      </c>
      <c r="D91" s="79" t="s">
        <v>222</v>
      </c>
      <c r="E91" s="114">
        <v>1</v>
      </c>
      <c r="F91" s="114">
        <f>3.78*0.71*2+0.71*3.75*2+5.6*0.71</f>
        <v>14.668599999999998</v>
      </c>
      <c r="G91" s="114"/>
      <c r="H91" s="114"/>
      <c r="I91" s="114">
        <f t="shared" si="6"/>
        <v>14.668599999999998</v>
      </c>
      <c r="J91" s="80"/>
    </row>
    <row r="92" spans="1:12" x14ac:dyDescent="0.7">
      <c r="A92" s="84"/>
      <c r="B92" s="81" t="s">
        <v>312</v>
      </c>
      <c r="C92" s="79" t="s">
        <v>12</v>
      </c>
      <c r="D92" s="79" t="s">
        <v>222</v>
      </c>
      <c r="E92" s="79">
        <v>1</v>
      </c>
      <c r="F92" s="79">
        <v>7.9</v>
      </c>
      <c r="G92" s="79"/>
      <c r="H92" s="79">
        <v>6.4</v>
      </c>
      <c r="I92" s="79">
        <f t="shared" si="6"/>
        <v>50.56</v>
      </c>
      <c r="J92" s="80"/>
    </row>
    <row r="93" spans="1:12" x14ac:dyDescent="0.7">
      <c r="A93" s="84"/>
      <c r="B93" s="81" t="s">
        <v>285</v>
      </c>
      <c r="C93" s="79" t="s">
        <v>12</v>
      </c>
      <c r="D93" s="79" t="s">
        <v>222</v>
      </c>
      <c r="E93" s="79">
        <v>-1</v>
      </c>
      <c r="F93" s="79">
        <v>1.81</v>
      </c>
      <c r="G93" s="79"/>
      <c r="H93" s="79">
        <v>1.25</v>
      </c>
      <c r="I93" s="79">
        <f t="shared" si="6"/>
        <v>-2.2625000000000002</v>
      </c>
      <c r="J93" s="80"/>
    </row>
    <row r="94" spans="1:12" x14ac:dyDescent="0.7">
      <c r="A94" s="84"/>
      <c r="B94" s="81" t="s">
        <v>276</v>
      </c>
      <c r="C94" s="79" t="s">
        <v>12</v>
      </c>
      <c r="D94" s="79" t="s">
        <v>222</v>
      </c>
      <c r="E94" s="79">
        <v>-1</v>
      </c>
      <c r="F94" s="79">
        <v>1.2</v>
      </c>
      <c r="G94" s="79"/>
      <c r="H94" s="79">
        <v>2.1800000000000002</v>
      </c>
      <c r="I94" s="79">
        <f t="shared" si="6"/>
        <v>-2.6160000000000001</v>
      </c>
      <c r="J94" s="80"/>
    </row>
    <row r="95" spans="1:12" x14ac:dyDescent="0.7">
      <c r="A95" s="84">
        <v>4</v>
      </c>
      <c r="B95" s="109" t="s">
        <v>190</v>
      </c>
      <c r="C95" s="79"/>
      <c r="D95" s="79"/>
      <c r="E95" s="79"/>
      <c r="F95" s="79"/>
      <c r="G95" s="79"/>
      <c r="H95" s="79"/>
      <c r="I95" s="79"/>
      <c r="J95" s="80"/>
    </row>
    <row r="96" spans="1:12" x14ac:dyDescent="0.7">
      <c r="A96" s="84"/>
      <c r="B96" s="81" t="s">
        <v>317</v>
      </c>
      <c r="C96" s="79" t="s">
        <v>12</v>
      </c>
      <c r="D96" s="79" t="s">
        <v>222</v>
      </c>
      <c r="E96" s="79">
        <v>2</v>
      </c>
      <c r="F96" s="79">
        <v>3.76</v>
      </c>
      <c r="G96" s="79"/>
      <c r="H96" s="79">
        <v>2.83</v>
      </c>
      <c r="I96" s="79">
        <f t="shared" ref="I96:I101" si="7">PRODUCT(E96:H96)</f>
        <v>21.281600000000001</v>
      </c>
      <c r="J96" s="80"/>
    </row>
    <row r="97" spans="1:10" x14ac:dyDescent="0.7">
      <c r="A97" s="84"/>
      <c r="B97" s="81" t="s">
        <v>323</v>
      </c>
      <c r="C97" s="79" t="s">
        <v>12</v>
      </c>
      <c r="D97" s="79" t="s">
        <v>222</v>
      </c>
      <c r="E97" s="79">
        <v>2</v>
      </c>
      <c r="F97" s="79">
        <v>3.87</v>
      </c>
      <c r="G97" s="79"/>
      <c r="H97" s="79">
        <v>2.83</v>
      </c>
      <c r="I97" s="79">
        <f t="shared" si="7"/>
        <v>21.904199999999999</v>
      </c>
      <c r="J97" s="80"/>
    </row>
    <row r="98" spans="1:10" x14ac:dyDescent="0.7">
      <c r="A98" s="84"/>
      <c r="B98" s="81" t="s">
        <v>312</v>
      </c>
      <c r="C98" s="79" t="s">
        <v>12</v>
      </c>
      <c r="D98" s="79" t="s">
        <v>222</v>
      </c>
      <c r="E98" s="79">
        <v>1</v>
      </c>
      <c r="F98" s="79">
        <v>3.87</v>
      </c>
      <c r="G98" s="79"/>
      <c r="H98" s="79">
        <v>3.76</v>
      </c>
      <c r="I98" s="79">
        <f t="shared" si="7"/>
        <v>14.5512</v>
      </c>
      <c r="J98" s="80"/>
    </row>
    <row r="99" spans="1:10" x14ac:dyDescent="0.7">
      <c r="A99" s="84"/>
      <c r="B99" s="81" t="s">
        <v>297</v>
      </c>
      <c r="C99" s="79" t="s">
        <v>12</v>
      </c>
      <c r="D99" s="79" t="s">
        <v>222</v>
      </c>
      <c r="E99" s="79">
        <v>-1</v>
      </c>
      <c r="F99" s="79">
        <v>1.81</v>
      </c>
      <c r="G99" s="79"/>
      <c r="H99" s="79">
        <v>1.25</v>
      </c>
      <c r="I99" s="79">
        <f t="shared" si="7"/>
        <v>-2.2625000000000002</v>
      </c>
      <c r="J99" s="80"/>
    </row>
    <row r="100" spans="1:10" x14ac:dyDescent="0.7">
      <c r="A100" s="84"/>
      <c r="B100" s="81" t="s">
        <v>296</v>
      </c>
      <c r="C100" s="79" t="s">
        <v>12</v>
      </c>
      <c r="D100" s="79" t="s">
        <v>222</v>
      </c>
      <c r="E100" s="79">
        <v>-1</v>
      </c>
      <c r="F100" s="79">
        <v>1.3</v>
      </c>
      <c r="G100" s="79"/>
      <c r="H100" s="79">
        <v>1.25</v>
      </c>
      <c r="I100" s="79">
        <f t="shared" si="7"/>
        <v>-1.625</v>
      </c>
      <c r="J100" s="80"/>
    </row>
    <row r="101" spans="1:10" x14ac:dyDescent="0.7">
      <c r="A101" s="84"/>
      <c r="B101" s="81" t="s">
        <v>276</v>
      </c>
      <c r="C101" s="79" t="s">
        <v>12</v>
      </c>
      <c r="D101" s="79" t="s">
        <v>222</v>
      </c>
      <c r="E101" s="79">
        <v>-1</v>
      </c>
      <c r="F101" s="79">
        <v>0.89500000000000002</v>
      </c>
      <c r="G101" s="79"/>
      <c r="H101" s="79">
        <f>2.18+0.75</f>
        <v>2.93</v>
      </c>
      <c r="I101" s="79">
        <f t="shared" si="7"/>
        <v>-2.6223500000000004</v>
      </c>
      <c r="J101" s="80"/>
    </row>
    <row r="102" spans="1:10" x14ac:dyDescent="0.7">
      <c r="A102" s="84">
        <v>5</v>
      </c>
      <c r="B102" s="109" t="s">
        <v>192</v>
      </c>
      <c r="C102" s="79"/>
      <c r="D102" s="79"/>
      <c r="E102" s="79"/>
      <c r="F102" s="79"/>
      <c r="G102" s="79"/>
      <c r="H102" s="79"/>
      <c r="I102" s="79"/>
      <c r="J102" s="80"/>
    </row>
    <row r="103" spans="1:10" x14ac:dyDescent="0.7">
      <c r="A103" s="84"/>
      <c r="B103" s="81" t="s">
        <v>317</v>
      </c>
      <c r="C103" s="79" t="s">
        <v>12</v>
      </c>
      <c r="D103" s="79" t="s">
        <v>222</v>
      </c>
      <c r="E103" s="79">
        <v>2</v>
      </c>
      <c r="F103" s="79">
        <v>3.88</v>
      </c>
      <c r="G103" s="79"/>
      <c r="H103" s="79">
        <v>2.83</v>
      </c>
      <c r="I103" s="79">
        <f t="shared" ref="I103:I108" si="8">PRODUCT(E103:H103)</f>
        <v>21.960799999999999</v>
      </c>
      <c r="J103" s="80"/>
    </row>
    <row r="104" spans="1:10" x14ac:dyDescent="0.7">
      <c r="A104" s="84"/>
      <c r="B104" s="81" t="s">
        <v>323</v>
      </c>
      <c r="C104" s="79" t="s">
        <v>12</v>
      </c>
      <c r="D104" s="79" t="s">
        <v>222</v>
      </c>
      <c r="E104" s="79">
        <v>2</v>
      </c>
      <c r="F104" s="79">
        <v>3.77</v>
      </c>
      <c r="G104" s="79"/>
      <c r="H104" s="79">
        <v>2.83</v>
      </c>
      <c r="I104" s="79">
        <f t="shared" si="8"/>
        <v>21.338200000000001</v>
      </c>
      <c r="J104" s="80"/>
    </row>
    <row r="105" spans="1:10" x14ac:dyDescent="0.7">
      <c r="A105" s="84"/>
      <c r="B105" s="81" t="s">
        <v>312</v>
      </c>
      <c r="C105" s="79" t="s">
        <v>12</v>
      </c>
      <c r="D105" s="79" t="s">
        <v>222</v>
      </c>
      <c r="E105" s="79">
        <v>1</v>
      </c>
      <c r="F105" s="79">
        <v>3.77</v>
      </c>
      <c r="G105" s="79"/>
      <c r="H105" s="79">
        <v>3.88</v>
      </c>
      <c r="I105" s="79">
        <f t="shared" si="8"/>
        <v>14.627599999999999</v>
      </c>
      <c r="J105" s="80"/>
    </row>
    <row r="106" spans="1:10" x14ac:dyDescent="0.7">
      <c r="A106" s="84"/>
      <c r="B106" s="81" t="s">
        <v>297</v>
      </c>
      <c r="C106" s="79" t="s">
        <v>12</v>
      </c>
      <c r="D106" s="79" t="s">
        <v>222</v>
      </c>
      <c r="E106" s="79">
        <v>-1</v>
      </c>
      <c r="F106" s="79">
        <v>1.82</v>
      </c>
      <c r="G106" s="79"/>
      <c r="H106" s="79">
        <v>1.25</v>
      </c>
      <c r="I106" s="79">
        <f t="shared" si="8"/>
        <v>-2.2749999999999999</v>
      </c>
      <c r="J106" s="80"/>
    </row>
    <row r="107" spans="1:10" x14ac:dyDescent="0.7">
      <c r="A107" s="84"/>
      <c r="B107" s="81" t="s">
        <v>296</v>
      </c>
      <c r="C107" s="79" t="s">
        <v>12</v>
      </c>
      <c r="D107" s="79" t="s">
        <v>222</v>
      </c>
      <c r="E107" s="79">
        <v>-1</v>
      </c>
      <c r="F107" s="79">
        <v>1.3</v>
      </c>
      <c r="G107" s="79"/>
      <c r="H107" s="79">
        <v>1.25</v>
      </c>
      <c r="I107" s="79">
        <f t="shared" si="8"/>
        <v>-1.625</v>
      </c>
      <c r="J107" s="80"/>
    </row>
    <row r="108" spans="1:10" x14ac:dyDescent="0.7">
      <c r="A108" s="84"/>
      <c r="B108" s="81" t="s">
        <v>276</v>
      </c>
      <c r="C108" s="79" t="s">
        <v>12</v>
      </c>
      <c r="D108" s="79" t="s">
        <v>222</v>
      </c>
      <c r="E108" s="79">
        <v>-1</v>
      </c>
      <c r="F108" s="79">
        <v>0.98499999999999999</v>
      </c>
      <c r="G108" s="79"/>
      <c r="H108" s="79">
        <f>2.1</f>
        <v>2.1</v>
      </c>
      <c r="I108" s="79">
        <f t="shared" si="8"/>
        <v>-2.0685000000000002</v>
      </c>
      <c r="J108" s="80"/>
    </row>
    <row r="109" spans="1:10" x14ac:dyDescent="0.7">
      <c r="A109" s="84">
        <v>6</v>
      </c>
      <c r="B109" s="109" t="s">
        <v>193</v>
      </c>
      <c r="C109" s="79"/>
      <c r="D109" s="79"/>
      <c r="E109" s="79"/>
      <c r="F109" s="79"/>
      <c r="G109" s="79"/>
      <c r="H109" s="79"/>
      <c r="I109" s="79">
        <f t="shared" ref="I109:I129" si="9">PRODUCT(E109:H109)</f>
        <v>0</v>
      </c>
      <c r="J109" s="80"/>
    </row>
    <row r="110" spans="1:10" x14ac:dyDescent="0.7">
      <c r="A110" s="84"/>
      <c r="B110" s="81" t="s">
        <v>317</v>
      </c>
      <c r="C110" s="79" t="s">
        <v>12</v>
      </c>
      <c r="D110" s="79" t="s">
        <v>222</v>
      </c>
      <c r="E110" s="79">
        <v>2</v>
      </c>
      <c r="F110" s="79">
        <v>5.79</v>
      </c>
      <c r="G110" s="79"/>
      <c r="H110" s="79">
        <v>2.83</v>
      </c>
      <c r="I110" s="79">
        <f t="shared" si="9"/>
        <v>32.7714</v>
      </c>
      <c r="J110" s="80"/>
    </row>
    <row r="111" spans="1:10" x14ac:dyDescent="0.7">
      <c r="A111" s="84"/>
      <c r="B111" s="81" t="s">
        <v>319</v>
      </c>
      <c r="C111" s="79" t="s">
        <v>12</v>
      </c>
      <c r="D111" s="79" t="s">
        <v>222</v>
      </c>
      <c r="E111" s="79">
        <v>2</v>
      </c>
      <c r="F111" s="79">
        <v>3.8</v>
      </c>
      <c r="G111" s="79"/>
      <c r="H111" s="79">
        <v>2.83</v>
      </c>
      <c r="I111" s="79">
        <f t="shared" si="9"/>
        <v>21.507999999999999</v>
      </c>
      <c r="J111" s="80"/>
    </row>
    <row r="112" spans="1:10" x14ac:dyDescent="0.7">
      <c r="A112" s="84"/>
      <c r="B112" s="81" t="s">
        <v>312</v>
      </c>
      <c r="C112" s="79" t="s">
        <v>12</v>
      </c>
      <c r="D112" s="79" t="s">
        <v>222</v>
      </c>
      <c r="E112" s="79">
        <v>1</v>
      </c>
      <c r="F112" s="79">
        <v>5.79</v>
      </c>
      <c r="G112" s="79"/>
      <c r="H112" s="79">
        <v>3.8</v>
      </c>
      <c r="I112" s="79">
        <f t="shared" si="9"/>
        <v>22.001999999999999</v>
      </c>
      <c r="J112" s="80"/>
    </row>
    <row r="113" spans="1:10" x14ac:dyDescent="0.7">
      <c r="A113" s="84"/>
      <c r="B113" s="81" t="s">
        <v>296</v>
      </c>
      <c r="C113" s="79" t="s">
        <v>12</v>
      </c>
      <c r="D113" s="79" t="s">
        <v>222</v>
      </c>
      <c r="E113" s="79">
        <v>-1</v>
      </c>
      <c r="F113" s="79">
        <v>1.31</v>
      </c>
      <c r="G113" s="79"/>
      <c r="H113" s="79">
        <v>1.33</v>
      </c>
      <c r="I113" s="79">
        <f t="shared" si="9"/>
        <v>-1.7423000000000002</v>
      </c>
      <c r="J113" s="80"/>
    </row>
    <row r="114" spans="1:10" x14ac:dyDescent="0.7">
      <c r="A114" s="84"/>
      <c r="B114" s="81" t="s">
        <v>297</v>
      </c>
      <c r="C114" s="79" t="s">
        <v>12</v>
      </c>
      <c r="D114" s="79" t="s">
        <v>222</v>
      </c>
      <c r="E114" s="79">
        <v>-1</v>
      </c>
      <c r="F114" s="79">
        <v>1.2649999999999999</v>
      </c>
      <c r="G114" s="79"/>
      <c r="H114" s="79">
        <v>1.81</v>
      </c>
      <c r="I114" s="79">
        <f t="shared" si="9"/>
        <v>-2.28965</v>
      </c>
      <c r="J114" s="80"/>
    </row>
    <row r="115" spans="1:10" x14ac:dyDescent="0.7">
      <c r="A115" s="84"/>
      <c r="B115" s="81" t="s">
        <v>276</v>
      </c>
      <c r="C115" s="79" t="s">
        <v>12</v>
      </c>
      <c r="D115" s="79" t="s">
        <v>222</v>
      </c>
      <c r="E115" s="79">
        <v>-1</v>
      </c>
      <c r="F115" s="79">
        <v>0.97</v>
      </c>
      <c r="G115" s="79"/>
      <c r="H115" s="79">
        <v>2.1800000000000002</v>
      </c>
      <c r="I115" s="79">
        <f t="shared" si="9"/>
        <v>-2.1146000000000003</v>
      </c>
      <c r="J115" s="80"/>
    </row>
    <row r="116" spans="1:10" x14ac:dyDescent="0.7">
      <c r="A116" s="84">
        <v>7</v>
      </c>
      <c r="B116" s="109" t="s">
        <v>327</v>
      </c>
      <c r="C116" s="79"/>
      <c r="D116" s="79"/>
      <c r="E116" s="79"/>
      <c r="F116" s="79"/>
      <c r="G116" s="79"/>
      <c r="H116" s="79"/>
      <c r="I116" s="79">
        <f t="shared" si="9"/>
        <v>0</v>
      </c>
      <c r="J116" s="80"/>
    </row>
    <row r="117" spans="1:10" x14ac:dyDescent="0.7">
      <c r="A117" s="84"/>
      <c r="B117" s="81" t="s">
        <v>317</v>
      </c>
      <c r="C117" s="79" t="s">
        <v>12</v>
      </c>
      <c r="D117" s="79" t="s">
        <v>222</v>
      </c>
      <c r="E117" s="79">
        <v>2</v>
      </c>
      <c r="F117" s="79">
        <v>2.7</v>
      </c>
      <c r="G117" s="79"/>
      <c r="H117" s="79">
        <v>2.83</v>
      </c>
      <c r="I117" s="79">
        <f t="shared" si="9"/>
        <v>15.282000000000002</v>
      </c>
      <c r="J117" s="80"/>
    </row>
    <row r="118" spans="1:10" x14ac:dyDescent="0.7">
      <c r="A118" s="84"/>
      <c r="B118" s="81" t="s">
        <v>319</v>
      </c>
      <c r="C118" s="79" t="s">
        <v>12</v>
      </c>
      <c r="D118" s="79" t="s">
        <v>222</v>
      </c>
      <c r="E118" s="79">
        <v>2</v>
      </c>
      <c r="F118" s="79">
        <v>1.7</v>
      </c>
      <c r="G118" s="79"/>
      <c r="H118" s="79">
        <v>2.83</v>
      </c>
      <c r="I118" s="79">
        <f t="shared" si="9"/>
        <v>9.6219999999999999</v>
      </c>
      <c r="J118" s="80"/>
    </row>
    <row r="119" spans="1:10" x14ac:dyDescent="0.7">
      <c r="A119" s="84"/>
      <c r="B119" s="81" t="s">
        <v>312</v>
      </c>
      <c r="C119" s="79" t="s">
        <v>12</v>
      </c>
      <c r="D119" s="79" t="s">
        <v>222</v>
      </c>
      <c r="E119" s="79">
        <v>1</v>
      </c>
      <c r="F119" s="79">
        <v>2.7</v>
      </c>
      <c r="G119" s="79"/>
      <c r="H119" s="79">
        <v>1.7</v>
      </c>
      <c r="I119" s="79">
        <f t="shared" si="9"/>
        <v>4.59</v>
      </c>
      <c r="J119" s="80"/>
    </row>
    <row r="120" spans="1:10" x14ac:dyDescent="0.7">
      <c r="A120" s="84"/>
      <c r="B120" s="81" t="s">
        <v>276</v>
      </c>
      <c r="C120" s="79" t="s">
        <v>12</v>
      </c>
      <c r="D120" s="79" t="s">
        <v>222</v>
      </c>
      <c r="E120" s="79">
        <v>-1</v>
      </c>
      <c r="F120" s="79">
        <v>0.75</v>
      </c>
      <c r="G120" s="79"/>
      <c r="H120" s="79">
        <v>2.1</v>
      </c>
      <c r="I120" s="79">
        <f t="shared" si="9"/>
        <v>-1.5750000000000002</v>
      </c>
      <c r="J120" s="80"/>
    </row>
    <row r="121" spans="1:10" x14ac:dyDescent="0.7">
      <c r="A121" s="84">
        <v>8</v>
      </c>
      <c r="B121" s="109" t="s">
        <v>328</v>
      </c>
      <c r="C121" s="79"/>
      <c r="D121" s="79"/>
      <c r="E121" s="79"/>
      <c r="F121" s="79"/>
      <c r="G121" s="79"/>
      <c r="H121" s="79"/>
      <c r="I121" s="79">
        <f t="shared" si="9"/>
        <v>0</v>
      </c>
      <c r="J121" s="80"/>
    </row>
    <row r="122" spans="1:10" x14ac:dyDescent="0.7">
      <c r="A122" s="84"/>
      <c r="B122" s="81" t="s">
        <v>317</v>
      </c>
      <c r="C122" s="79" t="s">
        <v>12</v>
      </c>
      <c r="D122" s="79" t="s">
        <v>222</v>
      </c>
      <c r="E122" s="79">
        <v>2</v>
      </c>
      <c r="F122" s="79">
        <v>2.7</v>
      </c>
      <c r="G122" s="79"/>
      <c r="H122" s="79">
        <v>2.83</v>
      </c>
      <c r="I122" s="79">
        <f t="shared" si="9"/>
        <v>15.282000000000002</v>
      </c>
      <c r="J122" s="80"/>
    </row>
    <row r="123" spans="1:10" x14ac:dyDescent="0.7">
      <c r="A123" s="84"/>
      <c r="B123" s="81" t="s">
        <v>319</v>
      </c>
      <c r="C123" s="79" t="s">
        <v>12</v>
      </c>
      <c r="D123" s="79" t="s">
        <v>222</v>
      </c>
      <c r="E123" s="79">
        <v>2</v>
      </c>
      <c r="F123" s="79">
        <v>1.7</v>
      </c>
      <c r="G123" s="79"/>
      <c r="H123" s="79">
        <v>2.83</v>
      </c>
      <c r="I123" s="79">
        <f t="shared" si="9"/>
        <v>9.6219999999999999</v>
      </c>
      <c r="J123" s="80"/>
    </row>
    <row r="124" spans="1:10" x14ac:dyDescent="0.7">
      <c r="A124" s="84"/>
      <c r="B124" s="81" t="s">
        <v>312</v>
      </c>
      <c r="C124" s="79" t="s">
        <v>12</v>
      </c>
      <c r="D124" s="79" t="s">
        <v>222</v>
      </c>
      <c r="E124" s="79">
        <v>1</v>
      </c>
      <c r="F124" s="79">
        <v>2.7</v>
      </c>
      <c r="G124" s="79"/>
      <c r="H124" s="79">
        <v>1.7</v>
      </c>
      <c r="I124" s="79">
        <f t="shared" si="9"/>
        <v>4.59</v>
      </c>
      <c r="J124" s="80"/>
    </row>
    <row r="125" spans="1:10" x14ac:dyDescent="0.7">
      <c r="A125" s="84"/>
      <c r="B125" s="81" t="s">
        <v>276</v>
      </c>
      <c r="C125" s="79" t="s">
        <v>12</v>
      </c>
      <c r="D125" s="79" t="s">
        <v>222</v>
      </c>
      <c r="E125" s="79">
        <v>-1</v>
      </c>
      <c r="F125" s="79">
        <v>0.75</v>
      </c>
      <c r="G125" s="79"/>
      <c r="H125" s="79">
        <v>2.1</v>
      </c>
      <c r="I125" s="79">
        <f t="shared" si="9"/>
        <v>-1.5750000000000002</v>
      </c>
      <c r="J125" s="80"/>
    </row>
    <row r="126" spans="1:10" x14ac:dyDescent="0.7">
      <c r="A126" s="84">
        <v>9</v>
      </c>
      <c r="B126" s="109" t="s">
        <v>288</v>
      </c>
      <c r="C126" s="79"/>
      <c r="D126" s="79"/>
      <c r="E126" s="79"/>
      <c r="F126" s="79"/>
      <c r="G126" s="79"/>
      <c r="H126" s="79"/>
      <c r="I126" s="79">
        <f t="shared" si="9"/>
        <v>0</v>
      </c>
      <c r="J126" s="80"/>
    </row>
    <row r="127" spans="1:10" x14ac:dyDescent="0.7">
      <c r="A127" s="84"/>
      <c r="B127" s="81" t="s">
        <v>323</v>
      </c>
      <c r="C127" s="79" t="s">
        <v>12</v>
      </c>
      <c r="D127" s="79" t="s">
        <v>222</v>
      </c>
      <c r="E127" s="79">
        <v>1</v>
      </c>
      <c r="F127" s="79">
        <v>8.5</v>
      </c>
      <c r="G127" s="79"/>
      <c r="H127" s="79">
        <v>2.83</v>
      </c>
      <c r="I127" s="79">
        <f t="shared" si="9"/>
        <v>24.055</v>
      </c>
      <c r="J127" s="80"/>
    </row>
    <row r="128" spans="1:10" x14ac:dyDescent="0.7">
      <c r="A128" s="84"/>
      <c r="B128" s="81" t="s">
        <v>323</v>
      </c>
      <c r="C128" s="79" t="s">
        <v>12</v>
      </c>
      <c r="D128" s="79" t="s">
        <v>222</v>
      </c>
      <c r="E128" s="79">
        <v>2</v>
      </c>
      <c r="F128" s="79">
        <v>1.55</v>
      </c>
      <c r="G128" s="79"/>
      <c r="H128" s="79">
        <v>2.83</v>
      </c>
      <c r="I128" s="79">
        <f t="shared" si="9"/>
        <v>8.7729999999999997</v>
      </c>
      <c r="J128" s="80"/>
    </row>
    <row r="129" spans="1:10" x14ac:dyDescent="0.7">
      <c r="A129" s="84"/>
      <c r="B129" s="81" t="s">
        <v>329</v>
      </c>
      <c r="C129" s="79" t="s">
        <v>12</v>
      </c>
      <c r="D129" s="79" t="s">
        <v>222</v>
      </c>
      <c r="E129" s="79">
        <v>-1</v>
      </c>
      <c r="F129" s="79">
        <v>2.1</v>
      </c>
      <c r="G129" s="79"/>
      <c r="H129" s="79">
        <v>1</v>
      </c>
      <c r="I129" s="79">
        <f t="shared" si="9"/>
        <v>-2.1</v>
      </c>
      <c r="J129" s="80"/>
    </row>
    <row r="130" spans="1:10" x14ac:dyDescent="0.7">
      <c r="A130" s="84" t="s">
        <v>32</v>
      </c>
      <c r="B130" s="183" t="s">
        <v>281</v>
      </c>
      <c r="C130" s="79"/>
      <c r="D130" s="79"/>
      <c r="E130" s="79"/>
      <c r="F130" s="79"/>
      <c r="G130" s="79"/>
      <c r="H130" s="79"/>
      <c r="I130" s="79"/>
      <c r="J130" s="80"/>
    </row>
    <row r="131" spans="1:10" x14ac:dyDescent="0.7">
      <c r="A131" s="84"/>
      <c r="B131" s="203" t="s">
        <v>267</v>
      </c>
      <c r="C131" s="79" t="s">
        <v>12</v>
      </c>
      <c r="D131" s="79" t="s">
        <v>222</v>
      </c>
      <c r="E131" s="133">
        <v>2</v>
      </c>
      <c r="F131" s="133">
        <v>1.52</v>
      </c>
      <c r="G131" s="133"/>
      <c r="H131" s="133">
        <v>2.84</v>
      </c>
      <c r="I131" s="79">
        <f t="shared" ref="I131:I136" si="10">PRODUCT(E131:H131)</f>
        <v>8.6335999999999995</v>
      </c>
      <c r="J131" s="80"/>
    </row>
    <row r="132" spans="1:10" x14ac:dyDescent="0.7">
      <c r="A132" s="84"/>
      <c r="B132" s="81" t="s">
        <v>284</v>
      </c>
      <c r="C132" s="79" t="s">
        <v>12</v>
      </c>
      <c r="D132" s="79" t="s">
        <v>222</v>
      </c>
      <c r="E132" s="133">
        <v>2</v>
      </c>
      <c r="F132" s="133">
        <v>2.5</v>
      </c>
      <c r="G132" s="133"/>
      <c r="H132" s="133">
        <v>4.5</v>
      </c>
      <c r="I132" s="79">
        <f t="shared" si="10"/>
        <v>22.5</v>
      </c>
      <c r="J132" s="80"/>
    </row>
    <row r="133" spans="1:10" x14ac:dyDescent="0.7">
      <c r="A133" s="84"/>
      <c r="B133" s="81" t="s">
        <v>312</v>
      </c>
      <c r="C133" s="79" t="s">
        <v>12</v>
      </c>
      <c r="D133" s="79" t="s">
        <v>222</v>
      </c>
      <c r="E133" s="133">
        <v>1</v>
      </c>
      <c r="F133" s="133">
        <v>2.5</v>
      </c>
      <c r="G133" s="133"/>
      <c r="H133" s="133">
        <v>2.5</v>
      </c>
      <c r="I133" s="79">
        <f t="shared" si="10"/>
        <v>6.25</v>
      </c>
      <c r="J133" s="80"/>
    </row>
    <row r="134" spans="1:10" x14ac:dyDescent="0.7">
      <c r="A134" s="84"/>
      <c r="B134" s="81" t="s">
        <v>273</v>
      </c>
      <c r="C134" s="79" t="s">
        <v>12</v>
      </c>
      <c r="D134" s="79" t="s">
        <v>222</v>
      </c>
      <c r="E134" s="133">
        <v>1</v>
      </c>
      <c r="F134" s="133">
        <v>3.08</v>
      </c>
      <c r="G134" s="133"/>
      <c r="H134" s="133">
        <v>0.75</v>
      </c>
      <c r="I134" s="79">
        <f t="shared" si="10"/>
        <v>2.31</v>
      </c>
      <c r="J134" s="80"/>
    </row>
    <row r="135" spans="1:10" x14ac:dyDescent="0.7">
      <c r="A135" s="84"/>
      <c r="B135" s="81" t="s">
        <v>285</v>
      </c>
      <c r="C135" s="79" t="s">
        <v>12</v>
      </c>
      <c r="D135" s="79" t="s">
        <v>222</v>
      </c>
      <c r="E135" s="133">
        <v>-1</v>
      </c>
      <c r="F135" s="133">
        <v>1.03</v>
      </c>
      <c r="G135" s="133"/>
      <c r="H135" s="133">
        <v>0.97</v>
      </c>
      <c r="I135" s="79">
        <f t="shared" si="10"/>
        <v>-0.99909999999999999</v>
      </c>
      <c r="J135" s="80"/>
    </row>
    <row r="136" spans="1:10" x14ac:dyDescent="0.7">
      <c r="A136" s="84"/>
      <c r="B136" s="81" t="s">
        <v>276</v>
      </c>
      <c r="C136" s="79" t="s">
        <v>12</v>
      </c>
      <c r="D136" s="79" t="s">
        <v>222</v>
      </c>
      <c r="E136" s="133">
        <v>-1</v>
      </c>
      <c r="F136" s="133">
        <v>1.02</v>
      </c>
      <c r="G136" s="133"/>
      <c r="H136" s="133">
        <v>2.1</v>
      </c>
      <c r="I136" s="79">
        <f t="shared" si="10"/>
        <v>-2.1420000000000003</v>
      </c>
      <c r="J136" s="80"/>
    </row>
    <row r="137" spans="1:10" x14ac:dyDescent="0.7">
      <c r="A137" s="84" t="s">
        <v>195</v>
      </c>
      <c r="B137" s="183" t="s">
        <v>286</v>
      </c>
      <c r="C137" s="133"/>
      <c r="D137" s="133"/>
      <c r="E137" s="133"/>
      <c r="F137" s="133"/>
      <c r="G137" s="133"/>
      <c r="H137" s="133"/>
      <c r="I137" s="79"/>
      <c r="J137" s="80"/>
    </row>
    <row r="138" spans="1:10" x14ac:dyDescent="0.7">
      <c r="A138" s="84"/>
      <c r="B138" s="203" t="s">
        <v>267</v>
      </c>
      <c r="C138" s="79" t="s">
        <v>12</v>
      </c>
      <c r="D138" s="79" t="s">
        <v>222</v>
      </c>
      <c r="E138" s="133">
        <v>2</v>
      </c>
      <c r="F138" s="133">
        <v>4.2300000000000004</v>
      </c>
      <c r="G138" s="133"/>
      <c r="H138" s="133">
        <v>2.84</v>
      </c>
      <c r="I138" s="79">
        <f t="shared" ref="I138:I143" si="11">PRODUCT(E138:H138)</f>
        <v>24.026400000000002</v>
      </c>
      <c r="J138" s="80"/>
    </row>
    <row r="139" spans="1:10" x14ac:dyDescent="0.7">
      <c r="A139" s="84"/>
      <c r="B139" s="81" t="s">
        <v>284</v>
      </c>
      <c r="C139" s="79" t="s">
        <v>12</v>
      </c>
      <c r="D139" s="79" t="s">
        <v>222</v>
      </c>
      <c r="E139" s="133">
        <v>2</v>
      </c>
      <c r="F139" s="133">
        <v>2.5</v>
      </c>
      <c r="G139" s="133"/>
      <c r="H139" s="133">
        <v>2.84</v>
      </c>
      <c r="I139" s="79">
        <f t="shared" si="11"/>
        <v>14.2</v>
      </c>
      <c r="J139" s="80"/>
    </row>
    <row r="140" spans="1:10" x14ac:dyDescent="0.7">
      <c r="A140" s="84"/>
      <c r="B140" s="81" t="s">
        <v>312</v>
      </c>
      <c r="C140" s="79" t="s">
        <v>12</v>
      </c>
      <c r="D140" s="79" t="s">
        <v>222</v>
      </c>
      <c r="E140" s="133">
        <v>1</v>
      </c>
      <c r="F140" s="133">
        <v>4.2300000000000004</v>
      </c>
      <c r="G140" s="133"/>
      <c r="H140" s="133">
        <v>2.5</v>
      </c>
      <c r="I140" s="79">
        <f t="shared" si="11"/>
        <v>10.575000000000001</v>
      </c>
      <c r="J140" s="80"/>
    </row>
    <row r="141" spans="1:10" x14ac:dyDescent="0.7">
      <c r="A141" s="84"/>
      <c r="B141" s="81" t="s">
        <v>273</v>
      </c>
      <c r="C141" s="79" t="s">
        <v>12</v>
      </c>
      <c r="D141" s="79" t="s">
        <v>222</v>
      </c>
      <c r="E141" s="133">
        <v>4</v>
      </c>
      <c r="F141" s="133">
        <v>1.65</v>
      </c>
      <c r="G141" s="133"/>
      <c r="H141" s="133">
        <v>0.75</v>
      </c>
      <c r="I141" s="79">
        <f t="shared" si="11"/>
        <v>4.9499999999999993</v>
      </c>
      <c r="J141" s="80"/>
    </row>
    <row r="142" spans="1:10" x14ac:dyDescent="0.7">
      <c r="A142" s="84"/>
      <c r="B142" s="81" t="s">
        <v>285</v>
      </c>
      <c r="C142" s="79" t="s">
        <v>12</v>
      </c>
      <c r="D142" s="79" t="s">
        <v>222</v>
      </c>
      <c r="E142" s="133">
        <v>-3</v>
      </c>
      <c r="F142" s="133">
        <v>1.01</v>
      </c>
      <c r="G142" s="133"/>
      <c r="H142" s="133">
        <v>1.18</v>
      </c>
      <c r="I142" s="79">
        <f t="shared" si="11"/>
        <v>-3.5754000000000001</v>
      </c>
      <c r="J142" s="80"/>
    </row>
    <row r="143" spans="1:10" x14ac:dyDescent="0.7">
      <c r="A143" s="84"/>
      <c r="B143" s="81" t="s">
        <v>276</v>
      </c>
      <c r="C143" s="79" t="s">
        <v>12</v>
      </c>
      <c r="D143" s="79" t="s">
        <v>222</v>
      </c>
      <c r="E143" s="133">
        <v>-1</v>
      </c>
      <c r="F143" s="133">
        <v>0.98</v>
      </c>
      <c r="G143" s="133"/>
      <c r="H143" s="133">
        <v>2.1</v>
      </c>
      <c r="I143" s="79">
        <f t="shared" si="11"/>
        <v>-2.0579999999999998</v>
      </c>
      <c r="J143" s="80"/>
    </row>
    <row r="144" spans="1:10" x14ac:dyDescent="0.7">
      <c r="A144" s="84" t="s">
        <v>43</v>
      </c>
      <c r="B144" s="183" t="s">
        <v>287</v>
      </c>
      <c r="C144" s="133"/>
      <c r="D144" s="133"/>
      <c r="E144" s="133"/>
      <c r="F144" s="133"/>
      <c r="G144" s="133"/>
      <c r="H144" s="133"/>
      <c r="I144" s="79"/>
      <c r="J144" s="80"/>
    </row>
    <row r="145" spans="1:10" x14ac:dyDescent="0.7">
      <c r="A145" s="84"/>
      <c r="B145" s="81" t="s">
        <v>330</v>
      </c>
      <c r="C145" s="79" t="s">
        <v>12</v>
      </c>
      <c r="D145" s="79" t="s">
        <v>222</v>
      </c>
      <c r="E145" s="133">
        <v>1</v>
      </c>
      <c r="F145" s="133">
        <v>1.7</v>
      </c>
      <c r="G145" s="133"/>
      <c r="H145" s="133">
        <v>2.6</v>
      </c>
      <c r="I145" s="79">
        <f>PRODUCT(E145:H145)</f>
        <v>4.42</v>
      </c>
      <c r="J145" s="80"/>
    </row>
    <row r="146" spans="1:10" x14ac:dyDescent="0.7">
      <c r="A146" s="84"/>
      <c r="B146" s="203" t="s">
        <v>267</v>
      </c>
      <c r="C146" s="79" t="s">
        <v>12</v>
      </c>
      <c r="D146" s="79" t="s">
        <v>222</v>
      </c>
      <c r="E146" s="133">
        <v>2</v>
      </c>
      <c r="F146" s="133">
        <v>5.0999999999999996</v>
      </c>
      <c r="G146" s="133"/>
      <c r="H146" s="133">
        <v>3</v>
      </c>
      <c r="I146" s="79">
        <f>PRODUCT(E146:H146)</f>
        <v>30.599999999999998</v>
      </c>
      <c r="J146" s="80"/>
    </row>
    <row r="147" spans="1:10" x14ac:dyDescent="0.7">
      <c r="A147" s="84"/>
      <c r="B147" s="81" t="s">
        <v>284</v>
      </c>
      <c r="C147" s="79" t="s">
        <v>12</v>
      </c>
      <c r="D147" s="79" t="s">
        <v>222</v>
      </c>
      <c r="E147" s="133">
        <v>2</v>
      </c>
      <c r="F147" s="133">
        <v>4.5</v>
      </c>
      <c r="G147" s="133"/>
      <c r="H147" s="133">
        <v>3</v>
      </c>
      <c r="I147" s="79">
        <f>PRODUCT(E147:H147)</f>
        <v>27</v>
      </c>
      <c r="J147" s="80"/>
    </row>
    <row r="148" spans="1:10" x14ac:dyDescent="0.7">
      <c r="A148" s="84"/>
      <c r="B148" s="81" t="s">
        <v>312</v>
      </c>
      <c r="C148" s="79" t="s">
        <v>12</v>
      </c>
      <c r="D148" s="79" t="s">
        <v>222</v>
      </c>
      <c r="E148" s="133">
        <v>1</v>
      </c>
      <c r="F148" s="133">
        <v>5.0999999999999996</v>
      </c>
      <c r="G148" s="133"/>
      <c r="H148" s="133">
        <v>4.5</v>
      </c>
      <c r="I148" s="79">
        <f>PRODUCT(E148:H148)</f>
        <v>22.95</v>
      </c>
      <c r="J148" s="80"/>
    </row>
    <row r="149" spans="1:10" x14ac:dyDescent="0.7">
      <c r="A149" s="84"/>
      <c r="B149" s="81" t="s">
        <v>326</v>
      </c>
      <c r="C149" s="79" t="s">
        <v>12</v>
      </c>
      <c r="D149" s="79" t="s">
        <v>222</v>
      </c>
      <c r="E149" s="133">
        <v>1</v>
      </c>
      <c r="F149" s="133">
        <v>5.0999999999999996</v>
      </c>
      <c r="G149" s="133"/>
      <c r="H149" s="133">
        <v>0.86</v>
      </c>
      <c r="I149" s="79">
        <f>PRODUCT(E149:H149)</f>
        <v>4.3859999999999992</v>
      </c>
      <c r="J149" s="80"/>
    </row>
    <row r="150" spans="1:10" x14ac:dyDescent="0.7">
      <c r="A150" s="84" t="s">
        <v>65</v>
      </c>
      <c r="B150" s="183" t="s">
        <v>290</v>
      </c>
      <c r="C150" s="133"/>
      <c r="D150" s="133"/>
      <c r="E150" s="133"/>
      <c r="F150" s="133"/>
      <c r="G150" s="133"/>
      <c r="H150" s="133"/>
      <c r="I150" s="79"/>
      <c r="J150" s="80"/>
    </row>
    <row r="151" spans="1:10" x14ac:dyDescent="0.7">
      <c r="A151" s="84"/>
      <c r="B151" s="203" t="s">
        <v>267</v>
      </c>
      <c r="C151" s="79" t="s">
        <v>12</v>
      </c>
      <c r="D151" s="79" t="s">
        <v>222</v>
      </c>
      <c r="E151" s="133">
        <v>2</v>
      </c>
      <c r="F151" s="133">
        <v>3.8</v>
      </c>
      <c r="G151" s="133"/>
      <c r="H151" s="133">
        <v>4.3</v>
      </c>
      <c r="I151" s="79">
        <f t="shared" ref="I151:I159" si="12">PRODUCT(E151:H151)</f>
        <v>32.68</v>
      </c>
      <c r="J151" s="80"/>
    </row>
    <row r="152" spans="1:10" x14ac:dyDescent="0.7">
      <c r="A152" s="84"/>
      <c r="B152" s="81" t="s">
        <v>284</v>
      </c>
      <c r="C152" s="79" t="s">
        <v>12</v>
      </c>
      <c r="D152" s="79" t="s">
        <v>222</v>
      </c>
      <c r="E152" s="133">
        <v>1</v>
      </c>
      <c r="F152" s="133">
        <v>5.8</v>
      </c>
      <c r="G152" s="133"/>
      <c r="H152" s="133">
        <v>4.3</v>
      </c>
      <c r="I152" s="79">
        <f t="shared" si="12"/>
        <v>24.939999999999998</v>
      </c>
      <c r="J152" s="80"/>
    </row>
    <row r="153" spans="1:10" x14ac:dyDescent="0.7">
      <c r="A153" s="84"/>
      <c r="B153" s="81" t="s">
        <v>268</v>
      </c>
      <c r="C153" s="79" t="s">
        <v>12</v>
      </c>
      <c r="D153" s="79" t="s">
        <v>222</v>
      </c>
      <c r="E153" s="133">
        <v>1</v>
      </c>
      <c r="F153" s="133">
        <v>5.8</v>
      </c>
      <c r="G153" s="133"/>
      <c r="H153" s="133">
        <v>4.3</v>
      </c>
      <c r="I153" s="79">
        <f t="shared" si="12"/>
        <v>24.939999999999998</v>
      </c>
      <c r="J153" s="80"/>
    </row>
    <row r="154" spans="1:10" x14ac:dyDescent="0.7">
      <c r="A154" s="84"/>
      <c r="B154" s="81" t="s">
        <v>312</v>
      </c>
      <c r="C154" s="79" t="s">
        <v>12</v>
      </c>
      <c r="D154" s="79" t="s">
        <v>222</v>
      </c>
      <c r="E154" s="133">
        <v>4</v>
      </c>
      <c r="F154" s="133">
        <v>5.8</v>
      </c>
      <c r="G154" s="133"/>
      <c r="H154" s="133">
        <v>3.8</v>
      </c>
      <c r="I154" s="79">
        <f t="shared" si="12"/>
        <v>88.16</v>
      </c>
      <c r="J154" s="80"/>
    </row>
    <row r="155" spans="1:10" x14ac:dyDescent="0.7">
      <c r="A155" s="84"/>
      <c r="B155" s="81" t="s">
        <v>291</v>
      </c>
      <c r="C155" s="79" t="s">
        <v>12</v>
      </c>
      <c r="D155" s="79" t="s">
        <v>222</v>
      </c>
      <c r="E155" s="133">
        <v>-1</v>
      </c>
      <c r="F155" s="133">
        <v>0.6</v>
      </c>
      <c r="G155" s="133"/>
      <c r="H155" s="133">
        <v>0.6</v>
      </c>
      <c r="I155" s="79">
        <f t="shared" si="12"/>
        <v>-0.36</v>
      </c>
      <c r="J155" s="80"/>
    </row>
    <row r="156" spans="1:10" x14ac:dyDescent="0.7">
      <c r="A156" s="84"/>
      <c r="B156" s="81" t="s">
        <v>276</v>
      </c>
      <c r="C156" s="79" t="s">
        <v>12</v>
      </c>
      <c r="D156" s="79" t="s">
        <v>222</v>
      </c>
      <c r="E156" s="133">
        <v>-1</v>
      </c>
      <c r="F156" s="133">
        <v>0.75</v>
      </c>
      <c r="G156" s="133"/>
      <c r="H156" s="133">
        <v>1.22</v>
      </c>
      <c r="I156" s="79">
        <f t="shared" si="12"/>
        <v>-0.91500000000000004</v>
      </c>
      <c r="J156" s="80"/>
    </row>
    <row r="157" spans="1:10" x14ac:dyDescent="0.7">
      <c r="A157" s="84"/>
      <c r="B157" s="81" t="s">
        <v>285</v>
      </c>
      <c r="C157" s="79" t="s">
        <v>12</v>
      </c>
      <c r="D157" s="79" t="s">
        <v>222</v>
      </c>
      <c r="E157" s="133">
        <v>-4</v>
      </c>
      <c r="F157" s="133">
        <v>0.7</v>
      </c>
      <c r="G157" s="133"/>
      <c r="H157" s="133">
        <v>1.2</v>
      </c>
      <c r="I157" s="79">
        <f t="shared" si="12"/>
        <v>-3.36</v>
      </c>
      <c r="J157" s="80"/>
    </row>
    <row r="158" spans="1:10" x14ac:dyDescent="0.7">
      <c r="A158" s="84"/>
      <c r="B158" s="81" t="s">
        <v>285</v>
      </c>
      <c r="C158" s="79" t="s">
        <v>12</v>
      </c>
      <c r="D158" s="79" t="s">
        <v>222</v>
      </c>
      <c r="E158" s="133">
        <v>-2</v>
      </c>
      <c r="F158" s="133">
        <v>0.9</v>
      </c>
      <c r="G158" s="133"/>
      <c r="H158" s="133">
        <v>2.13</v>
      </c>
      <c r="I158" s="79">
        <f t="shared" si="12"/>
        <v>-3.8340000000000001</v>
      </c>
      <c r="J158" s="80"/>
    </row>
    <row r="159" spans="1:10" x14ac:dyDescent="0.7">
      <c r="A159" s="84"/>
      <c r="B159" s="81" t="s">
        <v>285</v>
      </c>
      <c r="C159" s="79" t="s">
        <v>12</v>
      </c>
      <c r="D159" s="79" t="s">
        <v>222</v>
      </c>
      <c r="E159" s="133">
        <v>-2</v>
      </c>
      <c r="F159" s="133">
        <v>0.63</v>
      </c>
      <c r="G159" s="133"/>
      <c r="H159" s="133">
        <v>1.2</v>
      </c>
      <c r="I159" s="79">
        <f t="shared" si="12"/>
        <v>-1.512</v>
      </c>
      <c r="J159" s="80"/>
    </row>
    <row r="160" spans="1:10" x14ac:dyDescent="0.7">
      <c r="A160" s="84" t="s">
        <v>70</v>
      </c>
      <c r="B160" s="183" t="s">
        <v>294</v>
      </c>
      <c r="C160" s="79"/>
      <c r="D160" s="79"/>
      <c r="E160" s="133"/>
      <c r="F160" s="133"/>
      <c r="G160" s="133"/>
      <c r="H160" s="133"/>
      <c r="I160" s="79"/>
      <c r="J160" s="80"/>
    </row>
    <row r="161" spans="1:10" x14ac:dyDescent="0.7">
      <c r="A161" s="84"/>
      <c r="B161" s="203" t="s">
        <v>267</v>
      </c>
      <c r="C161" s="79" t="s">
        <v>12</v>
      </c>
      <c r="D161" s="79" t="s">
        <v>222</v>
      </c>
      <c r="E161" s="133">
        <v>2</v>
      </c>
      <c r="F161" s="133">
        <v>2</v>
      </c>
      <c r="G161" s="133"/>
      <c r="H161" s="133">
        <v>2.83</v>
      </c>
      <c r="I161" s="79">
        <f>PRODUCT(E161:H161)</f>
        <v>11.32</v>
      </c>
      <c r="J161" s="80"/>
    </row>
    <row r="162" spans="1:10" x14ac:dyDescent="0.7">
      <c r="A162" s="84"/>
      <c r="B162" s="81" t="s">
        <v>293</v>
      </c>
      <c r="C162" s="79" t="s">
        <v>12</v>
      </c>
      <c r="D162" s="79" t="s">
        <v>222</v>
      </c>
      <c r="E162" s="133">
        <v>2</v>
      </c>
      <c r="F162" s="133">
        <v>2</v>
      </c>
      <c r="G162" s="133"/>
      <c r="H162" s="133">
        <v>2.83</v>
      </c>
      <c r="I162" s="79">
        <f>PRODUCT(E162:H162)</f>
        <v>11.32</v>
      </c>
      <c r="J162" s="80"/>
    </row>
    <row r="163" spans="1:10" x14ac:dyDescent="0.7">
      <c r="A163" s="84"/>
      <c r="B163" s="81" t="s">
        <v>331</v>
      </c>
      <c r="C163" s="79" t="s">
        <v>12</v>
      </c>
      <c r="D163" s="79" t="s">
        <v>222</v>
      </c>
      <c r="E163" s="133">
        <v>1</v>
      </c>
      <c r="F163" s="133">
        <f>0.2+0.2</f>
        <v>0.4</v>
      </c>
      <c r="G163" s="133"/>
      <c r="H163" s="133">
        <f>1.19+1.16</f>
        <v>2.3499999999999996</v>
      </c>
      <c r="I163" s="79">
        <f>PRODUCT(E163:H163)</f>
        <v>0.94</v>
      </c>
      <c r="J163" s="80"/>
    </row>
    <row r="164" spans="1:10" x14ac:dyDescent="0.7">
      <c r="A164" s="84"/>
      <c r="B164" s="81" t="s">
        <v>276</v>
      </c>
      <c r="C164" s="79" t="s">
        <v>12</v>
      </c>
      <c r="D164" s="79" t="s">
        <v>222</v>
      </c>
      <c r="E164" s="133">
        <v>-1</v>
      </c>
      <c r="F164" s="133">
        <v>0.9</v>
      </c>
      <c r="G164" s="133"/>
      <c r="H164" s="133">
        <v>2.13</v>
      </c>
      <c r="I164" s="79">
        <f>PRODUCT(E164:H164)</f>
        <v>-1.917</v>
      </c>
      <c r="J164" s="80"/>
    </row>
    <row r="165" spans="1:10" x14ac:dyDescent="0.7">
      <c r="A165" s="84"/>
      <c r="B165" s="81" t="s">
        <v>285</v>
      </c>
      <c r="C165" s="79" t="s">
        <v>12</v>
      </c>
      <c r="D165" s="79" t="s">
        <v>222</v>
      </c>
      <c r="E165" s="133">
        <v>-1</v>
      </c>
      <c r="F165" s="133">
        <v>1.19</v>
      </c>
      <c r="G165" s="133"/>
      <c r="H165" s="133">
        <v>1.1599999999999999</v>
      </c>
      <c r="I165" s="79">
        <f>PRODUCT(E165:H165)</f>
        <v>-1.3803999999999998</v>
      </c>
      <c r="J165" s="80"/>
    </row>
    <row r="166" spans="1:10" x14ac:dyDescent="0.7">
      <c r="A166" s="84" t="s">
        <v>73</v>
      </c>
      <c r="B166" s="183" t="s">
        <v>295</v>
      </c>
      <c r="C166" s="133"/>
      <c r="D166" s="133"/>
      <c r="E166" s="133"/>
      <c r="F166" s="133"/>
      <c r="G166" s="133"/>
      <c r="H166" s="133"/>
      <c r="I166" s="81"/>
      <c r="J166" s="80"/>
    </row>
    <row r="167" spans="1:10" x14ac:dyDescent="0.7">
      <c r="A167" s="84"/>
      <c r="B167" s="203" t="s">
        <v>267</v>
      </c>
      <c r="C167" s="79" t="s">
        <v>12</v>
      </c>
      <c r="D167" s="79" t="s">
        <v>223</v>
      </c>
      <c r="E167" s="133">
        <f>2+2</f>
        <v>4</v>
      </c>
      <c r="F167" s="133">
        <v>2.6</v>
      </c>
      <c r="G167" s="133"/>
      <c r="H167" s="133">
        <v>4.5</v>
      </c>
      <c r="I167" s="79">
        <f t="shared" ref="I167:I172" si="13">PRODUCT(E167:H167)</f>
        <v>46.800000000000004</v>
      </c>
      <c r="J167" s="80"/>
    </row>
    <row r="168" spans="1:10" x14ac:dyDescent="0.7">
      <c r="A168" s="84"/>
      <c r="B168" s="81" t="s">
        <v>293</v>
      </c>
      <c r="C168" s="79" t="s">
        <v>12</v>
      </c>
      <c r="D168" s="79" t="s">
        <v>223</v>
      </c>
      <c r="E168" s="133">
        <f>2+2</f>
        <v>4</v>
      </c>
      <c r="F168" s="133">
        <v>2.6</v>
      </c>
      <c r="G168" s="133"/>
      <c r="H168" s="133">
        <v>4.5</v>
      </c>
      <c r="I168" s="79">
        <f t="shared" si="13"/>
        <v>46.800000000000004</v>
      </c>
      <c r="J168" s="80"/>
    </row>
    <row r="169" spans="1:10" x14ac:dyDescent="0.7">
      <c r="A169" s="84"/>
      <c r="B169" s="81" t="s">
        <v>312</v>
      </c>
      <c r="C169" s="79" t="s">
        <v>12</v>
      </c>
      <c r="D169" s="79" t="s">
        <v>223</v>
      </c>
      <c r="E169" s="133">
        <f>1+1</f>
        <v>2</v>
      </c>
      <c r="F169" s="133">
        <v>2.6</v>
      </c>
      <c r="G169" s="133"/>
      <c r="H169" s="133">
        <v>2.6</v>
      </c>
      <c r="I169" s="79">
        <f t="shared" si="13"/>
        <v>13.520000000000001</v>
      </c>
      <c r="J169" s="80"/>
    </row>
    <row r="170" spans="1:10" x14ac:dyDescent="0.7">
      <c r="A170" s="84"/>
      <c r="B170" s="81" t="s">
        <v>276</v>
      </c>
      <c r="C170" s="79" t="s">
        <v>12</v>
      </c>
      <c r="D170" s="79" t="s">
        <v>223</v>
      </c>
      <c r="E170" s="133">
        <f>-(1+1)</f>
        <v>-2</v>
      </c>
      <c r="F170" s="133">
        <v>1.06</v>
      </c>
      <c r="G170" s="133"/>
      <c r="H170" s="133">
        <v>2.0299999999999998</v>
      </c>
      <c r="I170" s="79">
        <f t="shared" si="13"/>
        <v>-4.3035999999999994</v>
      </c>
      <c r="J170" s="80"/>
    </row>
    <row r="171" spans="1:10" x14ac:dyDescent="0.7">
      <c r="A171" s="84"/>
      <c r="B171" s="81" t="s">
        <v>297</v>
      </c>
      <c r="C171" s="79" t="s">
        <v>12</v>
      </c>
      <c r="D171" s="79" t="s">
        <v>223</v>
      </c>
      <c r="E171" s="133">
        <f>-(4+4)</f>
        <v>-8</v>
      </c>
      <c r="F171" s="133">
        <v>0.91</v>
      </c>
      <c r="G171" s="133"/>
      <c r="H171" s="133">
        <v>0.96499999999999997</v>
      </c>
      <c r="I171" s="79">
        <f t="shared" si="13"/>
        <v>-7.0251999999999999</v>
      </c>
      <c r="J171" s="80"/>
    </row>
    <row r="172" spans="1:10" x14ac:dyDescent="0.7">
      <c r="A172" s="84"/>
      <c r="B172" s="81" t="s">
        <v>296</v>
      </c>
      <c r="C172" s="79" t="s">
        <v>12</v>
      </c>
      <c r="D172" s="79" t="s">
        <v>223</v>
      </c>
      <c r="E172" s="133">
        <f>-(1+1)</f>
        <v>-2</v>
      </c>
      <c r="F172" s="133">
        <v>1</v>
      </c>
      <c r="G172" s="133"/>
      <c r="H172" s="133">
        <v>1.2</v>
      </c>
      <c r="I172" s="79">
        <f t="shared" si="13"/>
        <v>-2.4</v>
      </c>
      <c r="J172" s="80"/>
    </row>
    <row r="173" spans="1:10" x14ac:dyDescent="0.7">
      <c r="A173" s="84" t="s">
        <v>304</v>
      </c>
      <c r="B173" s="183" t="s">
        <v>299</v>
      </c>
      <c r="C173" s="133"/>
      <c r="D173" s="133"/>
      <c r="E173" s="133"/>
      <c r="F173" s="133"/>
      <c r="G173" s="133"/>
      <c r="H173" s="133"/>
      <c r="I173" s="81"/>
      <c r="J173" s="80"/>
    </row>
    <row r="174" spans="1:10" x14ac:dyDescent="0.7">
      <c r="A174" s="84"/>
      <c r="B174" s="203" t="s">
        <v>267</v>
      </c>
      <c r="C174" s="79" t="s">
        <v>12</v>
      </c>
      <c r="D174" s="79" t="s">
        <v>223</v>
      </c>
      <c r="E174" s="133">
        <f>2+2</f>
        <v>4</v>
      </c>
      <c r="F174" s="133">
        <v>2.6</v>
      </c>
      <c r="G174" s="133"/>
      <c r="H174" s="133">
        <v>2.98</v>
      </c>
      <c r="I174" s="79">
        <f t="shared" ref="I174:I179" si="14">PRODUCT(E174:H174)</f>
        <v>30.992000000000001</v>
      </c>
      <c r="J174" s="80"/>
    </row>
    <row r="175" spans="1:10" x14ac:dyDescent="0.7">
      <c r="A175" s="84"/>
      <c r="B175" s="81" t="s">
        <v>293</v>
      </c>
      <c r="C175" s="79" t="s">
        <v>12</v>
      </c>
      <c r="D175" s="79" t="s">
        <v>223</v>
      </c>
      <c r="E175" s="133">
        <f>2+2</f>
        <v>4</v>
      </c>
      <c r="F175" s="133">
        <v>3.6</v>
      </c>
      <c r="G175" s="133"/>
      <c r="H175" s="133">
        <v>2.98</v>
      </c>
      <c r="I175" s="79">
        <f t="shared" si="14"/>
        <v>42.911999999999999</v>
      </c>
      <c r="J175" s="80"/>
    </row>
    <row r="176" spans="1:10" x14ac:dyDescent="0.7">
      <c r="A176" s="84"/>
      <c r="B176" s="81" t="s">
        <v>312</v>
      </c>
      <c r="C176" s="79" t="s">
        <v>12</v>
      </c>
      <c r="D176" s="79" t="s">
        <v>223</v>
      </c>
      <c r="E176" s="133">
        <f>1+1</f>
        <v>2</v>
      </c>
      <c r="F176" s="133">
        <v>2.6</v>
      </c>
      <c r="G176" s="133"/>
      <c r="H176" s="133">
        <v>3.6</v>
      </c>
      <c r="I176" s="79">
        <f t="shared" si="14"/>
        <v>18.720000000000002</v>
      </c>
      <c r="J176" s="80"/>
    </row>
    <row r="177" spans="1:10" x14ac:dyDescent="0.7">
      <c r="A177" s="84"/>
      <c r="B177" s="81" t="s">
        <v>276</v>
      </c>
      <c r="C177" s="79" t="s">
        <v>12</v>
      </c>
      <c r="D177" s="79" t="s">
        <v>223</v>
      </c>
      <c r="E177" s="133">
        <f>-(1+1)</f>
        <v>-2</v>
      </c>
      <c r="F177" s="133">
        <v>1.19</v>
      </c>
      <c r="G177" s="133"/>
      <c r="H177" s="133">
        <v>2.0249999999999999</v>
      </c>
      <c r="I177" s="79">
        <f t="shared" si="14"/>
        <v>-4.8194999999999997</v>
      </c>
      <c r="J177" s="80"/>
    </row>
    <row r="178" spans="1:10" x14ac:dyDescent="0.7">
      <c r="A178" s="84"/>
      <c r="B178" s="81" t="s">
        <v>301</v>
      </c>
      <c r="C178" s="79" t="s">
        <v>12</v>
      </c>
      <c r="D178" s="79" t="s">
        <v>223</v>
      </c>
      <c r="E178" s="133">
        <f>-(1+1)</f>
        <v>-2</v>
      </c>
      <c r="F178" s="133">
        <v>1.1000000000000001</v>
      </c>
      <c r="G178" s="133"/>
      <c r="H178" s="133">
        <v>1.25</v>
      </c>
      <c r="I178" s="79">
        <f t="shared" si="14"/>
        <v>-2.75</v>
      </c>
      <c r="J178" s="80"/>
    </row>
    <row r="179" spans="1:10" x14ac:dyDescent="0.7">
      <c r="A179" s="84"/>
      <c r="B179" s="81" t="s">
        <v>296</v>
      </c>
      <c r="C179" s="79" t="s">
        <v>12</v>
      </c>
      <c r="D179" s="79" t="s">
        <v>223</v>
      </c>
      <c r="E179" s="133">
        <f>-(1+1)</f>
        <v>-2</v>
      </c>
      <c r="F179" s="133">
        <v>1.17</v>
      </c>
      <c r="G179" s="133"/>
      <c r="H179" s="133">
        <v>1.1200000000000001</v>
      </c>
      <c r="I179" s="79">
        <f t="shared" si="14"/>
        <v>-2.6208</v>
      </c>
      <c r="J179" s="80"/>
    </row>
    <row r="180" spans="1:10" x14ac:dyDescent="0.7">
      <c r="A180" s="84" t="s">
        <v>332</v>
      </c>
      <c r="B180" s="183" t="s">
        <v>305</v>
      </c>
      <c r="C180" s="133"/>
      <c r="D180" s="133"/>
      <c r="E180" s="133"/>
      <c r="F180" s="133"/>
      <c r="G180" s="133"/>
      <c r="H180" s="133"/>
      <c r="I180" s="81"/>
      <c r="J180" s="80"/>
    </row>
    <row r="181" spans="1:10" x14ac:dyDescent="0.7">
      <c r="A181" s="84"/>
      <c r="B181" s="203" t="s">
        <v>333</v>
      </c>
      <c r="C181" s="79" t="s">
        <v>12</v>
      </c>
      <c r="D181" s="79" t="s">
        <v>223</v>
      </c>
      <c r="E181" s="133">
        <f>2+2</f>
        <v>4</v>
      </c>
      <c r="F181" s="133">
        <f>(1.47+0.25+0.45)</f>
        <v>2.17</v>
      </c>
      <c r="G181" s="133"/>
      <c r="H181" s="133">
        <v>0.43</v>
      </c>
      <c r="I181" s="79">
        <f t="shared" ref="I181:I201" si="15">PRODUCT(E181:H181)</f>
        <v>3.7323999999999997</v>
      </c>
      <c r="J181" s="80"/>
    </row>
    <row r="182" spans="1:10" x14ac:dyDescent="0.7">
      <c r="A182" s="84"/>
      <c r="B182" s="203" t="s">
        <v>333</v>
      </c>
      <c r="C182" s="79" t="s">
        <v>12</v>
      </c>
      <c r="D182" s="79" t="s">
        <v>223</v>
      </c>
      <c r="E182" s="133">
        <f>1+1</f>
        <v>2</v>
      </c>
      <c r="F182" s="133">
        <v>1.85</v>
      </c>
      <c r="G182" s="133"/>
      <c r="H182" s="133">
        <v>0.85</v>
      </c>
      <c r="I182" s="79">
        <f t="shared" si="15"/>
        <v>3.145</v>
      </c>
      <c r="J182" s="80"/>
    </row>
    <row r="183" spans="1:10" x14ac:dyDescent="0.7">
      <c r="A183" s="84"/>
      <c r="B183" s="81" t="s">
        <v>316</v>
      </c>
      <c r="C183" s="79" t="s">
        <v>12</v>
      </c>
      <c r="D183" s="79" t="s">
        <v>223</v>
      </c>
      <c r="E183" s="133">
        <f>-(2+2)</f>
        <v>-4</v>
      </c>
      <c r="F183" s="133">
        <v>0.64</v>
      </c>
      <c r="G183" s="133"/>
      <c r="H183" s="133">
        <v>0.61499999999999999</v>
      </c>
      <c r="I183" s="79">
        <f t="shared" si="15"/>
        <v>-1.5744</v>
      </c>
      <c r="J183" s="80"/>
    </row>
    <row r="184" spans="1:10" x14ac:dyDescent="0.7">
      <c r="A184" s="84"/>
      <c r="B184" s="81" t="s">
        <v>334</v>
      </c>
      <c r="C184" s="79" t="s">
        <v>12</v>
      </c>
      <c r="D184" s="79" t="s">
        <v>223</v>
      </c>
      <c r="E184" s="133">
        <f>2+2</f>
        <v>4</v>
      </c>
      <c r="F184" s="133">
        <v>4.5</v>
      </c>
      <c r="G184" s="133"/>
      <c r="H184" s="133">
        <v>0.85</v>
      </c>
      <c r="I184" s="79">
        <f t="shared" si="15"/>
        <v>15.299999999999999</v>
      </c>
      <c r="J184" s="80"/>
    </row>
    <row r="185" spans="1:10" x14ac:dyDescent="0.7">
      <c r="A185" s="84"/>
      <c r="B185" s="81" t="s">
        <v>335</v>
      </c>
      <c r="C185" s="79" t="s">
        <v>12</v>
      </c>
      <c r="D185" s="79" t="s">
        <v>223</v>
      </c>
      <c r="E185" s="133">
        <f>2+2</f>
        <v>4</v>
      </c>
      <c r="F185" s="133">
        <v>15.3</v>
      </c>
      <c r="G185" s="133"/>
      <c r="H185" s="133">
        <v>0.85</v>
      </c>
      <c r="I185" s="79">
        <f t="shared" si="15"/>
        <v>52.02</v>
      </c>
      <c r="J185" s="80"/>
    </row>
    <row r="186" spans="1:10" x14ac:dyDescent="0.7">
      <c r="A186" s="84"/>
      <c r="B186" s="81" t="s">
        <v>336</v>
      </c>
      <c r="C186" s="79" t="s">
        <v>12</v>
      </c>
      <c r="D186" s="79" t="s">
        <v>223</v>
      </c>
      <c r="E186" s="133">
        <f>6+6</f>
        <v>12</v>
      </c>
      <c r="F186" s="133">
        <v>1.5</v>
      </c>
      <c r="G186" s="133"/>
      <c r="H186" s="133">
        <v>0.45</v>
      </c>
      <c r="I186" s="79">
        <f t="shared" si="15"/>
        <v>8.1</v>
      </c>
      <c r="J186" s="80"/>
    </row>
    <row r="187" spans="1:10" x14ac:dyDescent="0.7">
      <c r="A187" s="84"/>
      <c r="B187" s="81" t="s">
        <v>336</v>
      </c>
      <c r="C187" s="79" t="s">
        <v>12</v>
      </c>
      <c r="D187" s="79" t="s">
        <v>223</v>
      </c>
      <c r="E187" s="133">
        <f>1+1</f>
        <v>2</v>
      </c>
      <c r="F187" s="133">
        <v>3.6</v>
      </c>
      <c r="G187" s="133"/>
      <c r="H187" s="133">
        <v>0.45</v>
      </c>
      <c r="I187" s="79">
        <f t="shared" si="15"/>
        <v>3.24</v>
      </c>
      <c r="J187" s="80"/>
    </row>
    <row r="188" spans="1:10" x14ac:dyDescent="0.7">
      <c r="A188" s="84"/>
      <c r="B188" s="81" t="s">
        <v>336</v>
      </c>
      <c r="C188" s="79" t="s">
        <v>12</v>
      </c>
      <c r="D188" s="79" t="s">
        <v>223</v>
      </c>
      <c r="E188" s="133">
        <f>1+1</f>
        <v>2</v>
      </c>
      <c r="F188" s="133">
        <v>0.7</v>
      </c>
      <c r="G188" s="133"/>
      <c r="H188" s="133">
        <v>0.45</v>
      </c>
      <c r="I188" s="79">
        <f t="shared" si="15"/>
        <v>0.63</v>
      </c>
      <c r="J188" s="80"/>
    </row>
    <row r="189" spans="1:10" x14ac:dyDescent="0.7">
      <c r="A189" s="84"/>
      <c r="B189" s="81" t="s">
        <v>336</v>
      </c>
      <c r="C189" s="79" t="s">
        <v>12</v>
      </c>
      <c r="D189" s="79" t="s">
        <v>223</v>
      </c>
      <c r="E189" s="133">
        <f>(4+4)</f>
        <v>8</v>
      </c>
      <c r="F189" s="133">
        <v>0.6</v>
      </c>
      <c r="G189" s="133"/>
      <c r="H189" s="133">
        <v>0.45</v>
      </c>
      <c r="I189" s="79">
        <f t="shared" si="15"/>
        <v>2.16</v>
      </c>
      <c r="J189" s="80"/>
    </row>
    <row r="190" spans="1:10" x14ac:dyDescent="0.7">
      <c r="A190" s="84"/>
      <c r="B190" s="81" t="s">
        <v>337</v>
      </c>
      <c r="C190" s="79" t="s">
        <v>12</v>
      </c>
      <c r="D190" s="79" t="s">
        <v>223</v>
      </c>
      <c r="E190" s="133">
        <f>1+1</f>
        <v>2</v>
      </c>
      <c r="F190" s="133">
        <f>1.61+0.14+1.61</f>
        <v>3.3600000000000003</v>
      </c>
      <c r="G190" s="133"/>
      <c r="H190" s="133">
        <v>0.45</v>
      </c>
      <c r="I190" s="79">
        <f t="shared" si="15"/>
        <v>3.0240000000000005</v>
      </c>
      <c r="J190" s="80"/>
    </row>
    <row r="191" spans="1:10" x14ac:dyDescent="0.7">
      <c r="A191" s="84"/>
      <c r="B191" s="81" t="s">
        <v>337</v>
      </c>
      <c r="C191" s="79" t="s">
        <v>12</v>
      </c>
      <c r="D191" s="79" t="s">
        <v>223</v>
      </c>
      <c r="E191" s="133">
        <f>1+1</f>
        <v>2</v>
      </c>
      <c r="F191" s="133">
        <f>0.43+0.15+0.43</f>
        <v>1.01</v>
      </c>
      <c r="G191" s="133"/>
      <c r="H191" s="133">
        <v>0.45</v>
      </c>
      <c r="I191" s="79">
        <f t="shared" si="15"/>
        <v>0.90900000000000003</v>
      </c>
      <c r="J191" s="80"/>
    </row>
    <row r="192" spans="1:10" x14ac:dyDescent="0.7">
      <c r="A192" s="84"/>
      <c r="B192" s="81" t="s">
        <v>337</v>
      </c>
      <c r="C192" s="79" t="s">
        <v>12</v>
      </c>
      <c r="D192" s="79" t="s">
        <v>223</v>
      </c>
      <c r="E192" s="133">
        <f>1+1</f>
        <v>2</v>
      </c>
      <c r="F192" s="133">
        <v>0.5</v>
      </c>
      <c r="G192" s="133"/>
      <c r="H192" s="133">
        <v>0.45</v>
      </c>
      <c r="I192" s="79">
        <f t="shared" si="15"/>
        <v>0.45</v>
      </c>
      <c r="J192" s="80"/>
    </row>
    <row r="193" spans="1:10" x14ac:dyDescent="0.7">
      <c r="A193" s="84"/>
      <c r="B193" s="81" t="s">
        <v>337</v>
      </c>
      <c r="C193" s="79" t="s">
        <v>12</v>
      </c>
      <c r="D193" s="79" t="s">
        <v>223</v>
      </c>
      <c r="E193" s="133">
        <f>2+2</f>
        <v>4</v>
      </c>
      <c r="F193" s="133">
        <f>1.6+1.9</f>
        <v>3.5</v>
      </c>
      <c r="G193" s="133"/>
      <c r="H193" s="133">
        <v>0.45</v>
      </c>
      <c r="I193" s="79">
        <f t="shared" si="15"/>
        <v>6.3</v>
      </c>
      <c r="J193" s="80"/>
    </row>
    <row r="194" spans="1:10" x14ac:dyDescent="0.7">
      <c r="A194" s="84"/>
      <c r="B194" s="81" t="s">
        <v>337</v>
      </c>
      <c r="C194" s="79" t="s">
        <v>12</v>
      </c>
      <c r="D194" s="79" t="s">
        <v>223</v>
      </c>
      <c r="E194" s="133">
        <f>2*2*2</f>
        <v>8</v>
      </c>
      <c r="F194" s="133">
        <v>0.6</v>
      </c>
      <c r="G194" s="133"/>
      <c r="H194" s="133">
        <v>0.45</v>
      </c>
      <c r="I194" s="79">
        <f t="shared" si="15"/>
        <v>2.16</v>
      </c>
      <c r="J194" s="80"/>
    </row>
    <row r="195" spans="1:10" x14ac:dyDescent="0.7">
      <c r="A195" s="84"/>
      <c r="B195" s="81" t="s">
        <v>337</v>
      </c>
      <c r="C195" s="79" t="s">
        <v>12</v>
      </c>
      <c r="D195" s="79" t="s">
        <v>223</v>
      </c>
      <c r="E195" s="133">
        <f>1+1</f>
        <v>2</v>
      </c>
      <c r="F195" s="133">
        <v>0.44</v>
      </c>
      <c r="G195" s="133"/>
      <c r="H195" s="133">
        <v>0.45</v>
      </c>
      <c r="I195" s="79">
        <f t="shared" si="15"/>
        <v>0.39600000000000002</v>
      </c>
      <c r="J195" s="80"/>
    </row>
    <row r="196" spans="1:10" x14ac:dyDescent="0.7">
      <c r="A196" s="84"/>
      <c r="B196" s="81" t="s">
        <v>337</v>
      </c>
      <c r="C196" s="79" t="s">
        <v>12</v>
      </c>
      <c r="D196" s="79" t="s">
        <v>223</v>
      </c>
      <c r="E196" s="133">
        <f>3*2*2</f>
        <v>12</v>
      </c>
      <c r="F196" s="133">
        <v>1.6</v>
      </c>
      <c r="G196" s="133"/>
      <c r="H196" s="133">
        <v>0.45</v>
      </c>
      <c r="I196" s="79">
        <f t="shared" si="15"/>
        <v>8.6400000000000023</v>
      </c>
      <c r="J196" s="80"/>
    </row>
    <row r="197" spans="1:10" x14ac:dyDescent="0.7">
      <c r="A197" s="84"/>
      <c r="B197" s="81" t="s">
        <v>325</v>
      </c>
      <c r="C197" s="79" t="s">
        <v>12</v>
      </c>
      <c r="D197" s="79" t="s">
        <v>223</v>
      </c>
      <c r="E197" s="133">
        <v>1</v>
      </c>
      <c r="F197" s="133">
        <v>0.9</v>
      </c>
      <c r="G197" s="133"/>
      <c r="H197" s="133">
        <v>1</v>
      </c>
      <c r="I197" s="79">
        <f t="shared" si="15"/>
        <v>0.9</v>
      </c>
      <c r="J197" s="80"/>
    </row>
    <row r="198" spans="1:10" x14ac:dyDescent="0.7">
      <c r="A198" s="84" t="s">
        <v>338</v>
      </c>
      <c r="B198" s="183" t="s">
        <v>339</v>
      </c>
      <c r="C198" s="133"/>
      <c r="D198" s="133"/>
      <c r="E198" s="133"/>
      <c r="F198" s="133"/>
      <c r="G198" s="133"/>
      <c r="H198" s="133"/>
      <c r="I198" s="79"/>
      <c r="J198" s="80"/>
    </row>
    <row r="199" spans="1:10" x14ac:dyDescent="0.7">
      <c r="A199" s="84"/>
      <c r="B199" s="81" t="s">
        <v>340</v>
      </c>
      <c r="C199" s="133" t="s">
        <v>12</v>
      </c>
      <c r="D199" s="133" t="s">
        <v>223</v>
      </c>
      <c r="E199" s="133">
        <v>1</v>
      </c>
      <c r="F199" s="133">
        <v>3.2</v>
      </c>
      <c r="G199" s="133"/>
      <c r="H199" s="133">
        <v>1.4</v>
      </c>
      <c r="I199" s="79">
        <f t="shared" si="15"/>
        <v>4.4799999999999995</v>
      </c>
      <c r="J199" s="80"/>
    </row>
    <row r="200" spans="1:10" x14ac:dyDescent="0.7">
      <c r="A200" s="84"/>
      <c r="B200" s="81" t="s">
        <v>340</v>
      </c>
      <c r="C200" s="133" t="s">
        <v>12</v>
      </c>
      <c r="D200" s="133" t="s">
        <v>223</v>
      </c>
      <c r="E200" s="133">
        <f>2*14</f>
        <v>28</v>
      </c>
      <c r="F200" s="133">
        <v>1.5</v>
      </c>
      <c r="G200" s="133"/>
      <c r="H200" s="133">
        <v>1</v>
      </c>
      <c r="I200" s="79">
        <f t="shared" si="15"/>
        <v>42</v>
      </c>
      <c r="J200" s="80"/>
    </row>
    <row r="201" spans="1:10" x14ac:dyDescent="0.7">
      <c r="A201" s="84"/>
      <c r="B201" s="81" t="s">
        <v>341</v>
      </c>
      <c r="C201" s="133" t="s">
        <v>12</v>
      </c>
      <c r="D201" s="133" t="s">
        <v>223</v>
      </c>
      <c r="E201" s="133">
        <f>2*14</f>
        <v>28</v>
      </c>
      <c r="F201" s="133">
        <v>4.7</v>
      </c>
      <c r="G201" s="133"/>
      <c r="H201" s="133">
        <v>0.17</v>
      </c>
      <c r="I201" s="79">
        <f t="shared" si="15"/>
        <v>22.372</v>
      </c>
      <c r="J201" s="80"/>
    </row>
    <row r="202" spans="1:10" x14ac:dyDescent="0.7">
      <c r="A202" s="84" t="s">
        <v>342</v>
      </c>
      <c r="B202" s="183" t="s">
        <v>343</v>
      </c>
      <c r="C202" s="133"/>
      <c r="D202" s="133"/>
      <c r="E202" s="133"/>
      <c r="F202" s="133"/>
      <c r="G202" s="133"/>
      <c r="H202" s="133"/>
      <c r="I202" s="79"/>
      <c r="J202" s="80"/>
    </row>
    <row r="203" spans="1:10" x14ac:dyDescent="0.7">
      <c r="A203" s="84"/>
      <c r="B203" s="81" t="s">
        <v>340</v>
      </c>
      <c r="C203" s="133" t="s">
        <v>12</v>
      </c>
      <c r="D203" s="133" t="s">
        <v>223</v>
      </c>
      <c r="E203" s="133">
        <v>2</v>
      </c>
      <c r="F203" s="133">
        <v>3.5</v>
      </c>
      <c r="G203" s="133"/>
      <c r="H203" s="133">
        <v>0.75</v>
      </c>
      <c r="I203" s="79">
        <f>PRODUCT(E203:H203)</f>
        <v>5.25</v>
      </c>
      <c r="J203" s="80" t="s">
        <v>344</v>
      </c>
    </row>
    <row r="204" spans="1:10" x14ac:dyDescent="0.7">
      <c r="A204" s="84"/>
      <c r="B204" s="81" t="s">
        <v>340</v>
      </c>
      <c r="C204" s="133" t="s">
        <v>12</v>
      </c>
      <c r="D204" s="133" t="s">
        <v>223</v>
      </c>
      <c r="E204" s="133">
        <v>1</v>
      </c>
      <c r="F204" s="133">
        <v>1.3</v>
      </c>
      <c r="G204" s="133"/>
      <c r="H204" s="133">
        <v>1.2</v>
      </c>
      <c r="I204" s="79">
        <f>PRODUCT(E204:H204)</f>
        <v>1.56</v>
      </c>
      <c r="J204" s="80" t="s">
        <v>344</v>
      </c>
    </row>
    <row r="205" spans="1:10" x14ac:dyDescent="0.7">
      <c r="A205" s="84"/>
      <c r="B205" s="81" t="s">
        <v>341</v>
      </c>
      <c r="C205" s="133" t="s">
        <v>12</v>
      </c>
      <c r="D205" s="133" t="s">
        <v>223</v>
      </c>
      <c r="E205" s="133">
        <f>2*1</f>
        <v>2</v>
      </c>
      <c r="F205" s="133">
        <v>4.8</v>
      </c>
      <c r="G205" s="133"/>
      <c r="H205" s="133">
        <v>0.17</v>
      </c>
      <c r="I205" s="79">
        <f>PRODUCT(E205:H205)</f>
        <v>1.6320000000000001</v>
      </c>
      <c r="J205" s="80" t="s">
        <v>344</v>
      </c>
    </row>
    <row r="206" spans="1:10" x14ac:dyDescent="0.7">
      <c r="A206" s="108" t="s">
        <v>345</v>
      </c>
      <c r="B206" s="183" t="s">
        <v>346</v>
      </c>
      <c r="C206" s="79"/>
      <c r="D206" s="79"/>
      <c r="E206" s="79"/>
      <c r="F206" s="79"/>
      <c r="G206" s="79"/>
      <c r="H206" s="79"/>
      <c r="I206" s="79"/>
      <c r="J206" s="80"/>
    </row>
    <row r="207" spans="1:10" x14ac:dyDescent="0.7">
      <c r="A207" s="84"/>
      <c r="B207" s="81" t="s">
        <v>347</v>
      </c>
      <c r="C207" s="79" t="s">
        <v>247</v>
      </c>
      <c r="D207" s="79" t="s">
        <v>223</v>
      </c>
      <c r="E207" s="79">
        <v>2</v>
      </c>
      <c r="F207" s="110">
        <v>93</v>
      </c>
      <c r="G207" s="79"/>
      <c r="H207" s="79">
        <v>2.5</v>
      </c>
      <c r="I207" s="112">
        <f>PRODUCT(E207:H207)</f>
        <v>465</v>
      </c>
      <c r="J207" s="80"/>
    </row>
    <row r="208" spans="1:10" x14ac:dyDescent="0.7">
      <c r="A208" s="84"/>
      <c r="B208" s="81" t="s">
        <v>312</v>
      </c>
      <c r="C208" s="79" t="s">
        <v>247</v>
      </c>
      <c r="D208" s="79" t="s">
        <v>223</v>
      </c>
      <c r="E208" s="79">
        <v>1</v>
      </c>
      <c r="F208" s="110">
        <v>93</v>
      </c>
      <c r="G208" s="110">
        <v>2</v>
      </c>
      <c r="H208" s="79"/>
      <c r="I208" s="112">
        <f>PRODUCT(E208:H208)</f>
        <v>186</v>
      </c>
      <c r="J208" s="80"/>
    </row>
    <row r="209" spans="1:10" ht="17.5" thickBot="1" x14ac:dyDescent="0.75">
      <c r="A209" s="402" t="s">
        <v>348</v>
      </c>
      <c r="B209" s="403"/>
      <c r="C209" s="403"/>
      <c r="D209" s="403"/>
      <c r="E209" s="403"/>
      <c r="F209" s="403"/>
      <c r="G209" s="403"/>
      <c r="H209" s="404"/>
      <c r="I209" s="205">
        <f>SUM(I4:I208)</f>
        <v>2409.1865300000009</v>
      </c>
      <c r="J209" s="161"/>
    </row>
  </sheetData>
  <autoFilter ref="A3:J209" xr:uid="{75F73A6C-0E15-4352-ACB8-F01B2B1FE9BB}"/>
  <mergeCells count="20">
    <mergeCell ref="A1:J1"/>
    <mergeCell ref="L1:U1"/>
    <mergeCell ref="L2:L3"/>
    <mergeCell ref="M2:M3"/>
    <mergeCell ref="N2:N3"/>
    <mergeCell ref="T2:T3"/>
    <mergeCell ref="U2:U3"/>
    <mergeCell ref="E2:E3"/>
    <mergeCell ref="I2:I3"/>
    <mergeCell ref="C2:C3"/>
    <mergeCell ref="B2:B3"/>
    <mergeCell ref="A2:A3"/>
    <mergeCell ref="Q2:S2"/>
    <mergeCell ref="J2:J3"/>
    <mergeCell ref="A209:H209"/>
    <mergeCell ref="F2:H2"/>
    <mergeCell ref="L79:S79"/>
    <mergeCell ref="D2:D3"/>
    <mergeCell ref="O2:O3"/>
    <mergeCell ref="P2:P3"/>
  </mergeCells>
  <pageMargins left="0.7" right="0.7" top="0.75" bottom="0.75" header="0.3" footer="0.3"/>
  <pageSetup scale="6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6E0F3-ADE1-4945-B04F-6FB32FC551A8}">
  <sheetPr>
    <tabColor rgb="FF002060"/>
  </sheetPr>
  <dimension ref="A1:J5"/>
  <sheetViews>
    <sheetView zoomScale="98" zoomScaleNormal="110" workbookViewId="0">
      <pane xSplit="1" ySplit="3" topLeftCell="B4" activePane="bottomRight" state="frozen"/>
      <selection pane="topRight" activeCell="D9" sqref="D9"/>
      <selection pane="bottomLeft" activeCell="D9" sqref="D9"/>
      <selection pane="bottomRight" sqref="A1:J6"/>
    </sheetView>
  </sheetViews>
  <sheetFormatPr defaultColWidth="8.6328125" defaultRowHeight="17" x14ac:dyDescent="0.7"/>
  <cols>
    <col min="1" max="1" width="5.36328125" style="151" bestFit="1" customWidth="1"/>
    <col min="2" max="2" width="37.54296875" style="76" bestFit="1" customWidth="1"/>
    <col min="3" max="4" width="9.36328125" style="90" customWidth="1"/>
    <col min="5" max="5" width="6.453125" style="90" customWidth="1"/>
    <col min="6" max="6" width="12.36328125" style="90" customWidth="1"/>
    <col min="7" max="7" width="10.6328125" style="90" customWidth="1"/>
    <col min="8" max="8" width="12.36328125" style="90" customWidth="1"/>
    <col min="9" max="9" width="11.54296875" style="90" customWidth="1"/>
    <col min="10" max="10" width="13.36328125" style="76" customWidth="1"/>
    <col min="11" max="16384" width="8.6328125" style="76"/>
  </cols>
  <sheetData>
    <row r="1" spans="1:10" ht="17.5" thickBot="1" x14ac:dyDescent="0.75">
      <c r="A1" s="405" t="s">
        <v>349</v>
      </c>
      <c r="B1" s="406"/>
      <c r="C1" s="406"/>
      <c r="D1" s="406"/>
      <c r="E1" s="406"/>
      <c r="F1" s="406"/>
      <c r="G1" s="406"/>
      <c r="H1" s="406"/>
      <c r="I1" s="406"/>
      <c r="J1" s="407"/>
    </row>
    <row r="2" spans="1:10" s="77" customFormat="1" x14ac:dyDescent="0.35">
      <c r="A2" s="377" t="s">
        <v>2</v>
      </c>
      <c r="B2" s="379" t="s">
        <v>158</v>
      </c>
      <c r="C2" s="379" t="s">
        <v>159</v>
      </c>
      <c r="D2" s="379" t="s">
        <v>160</v>
      </c>
      <c r="E2" s="379" t="s">
        <v>22</v>
      </c>
      <c r="F2" s="379" t="s">
        <v>161</v>
      </c>
      <c r="G2" s="379"/>
      <c r="H2" s="379"/>
      <c r="I2" s="373" t="s">
        <v>5</v>
      </c>
      <c r="J2" s="375" t="s">
        <v>8</v>
      </c>
    </row>
    <row r="3" spans="1:10" s="77" customFormat="1" x14ac:dyDescent="0.35">
      <c r="A3" s="378"/>
      <c r="B3" s="380"/>
      <c r="C3" s="380"/>
      <c r="D3" s="380"/>
      <c r="E3" s="380"/>
      <c r="F3" s="324" t="s">
        <v>162</v>
      </c>
      <c r="G3" s="324" t="s">
        <v>163</v>
      </c>
      <c r="H3" s="324" t="s">
        <v>164</v>
      </c>
      <c r="I3" s="374"/>
      <c r="J3" s="376"/>
    </row>
    <row r="4" spans="1:10" x14ac:dyDescent="0.7">
      <c r="A4" s="108">
        <v>1</v>
      </c>
      <c r="B4" s="109" t="s">
        <v>350</v>
      </c>
      <c r="C4" s="79"/>
      <c r="D4" s="79"/>
      <c r="E4" s="79"/>
      <c r="F4" s="79"/>
      <c r="G4" s="79"/>
      <c r="H4" s="79"/>
      <c r="I4" s="79"/>
      <c r="J4" s="80"/>
    </row>
    <row r="5" spans="1:10" ht="51.5" thickBot="1" x14ac:dyDescent="0.75">
      <c r="A5" s="164" t="s">
        <v>245</v>
      </c>
      <c r="B5" s="199" t="s">
        <v>351</v>
      </c>
      <c r="C5" s="165" t="s">
        <v>81</v>
      </c>
      <c r="D5" s="165" t="s">
        <v>222</v>
      </c>
      <c r="E5" s="200">
        <v>20</v>
      </c>
      <c r="F5" s="165"/>
      <c r="G5" s="165"/>
      <c r="H5" s="165"/>
      <c r="I5" s="201">
        <f>PRODUCT(E5:H5)</f>
        <v>20</v>
      </c>
      <c r="J5" s="161"/>
    </row>
  </sheetData>
  <autoFilter ref="A3:J5" xr:uid="{530E367A-F739-440A-AE7E-1D86E274BCDE}"/>
  <mergeCells count="9">
    <mergeCell ref="A1:J1"/>
    <mergeCell ref="A2:A3"/>
    <mergeCell ref="B2:B3"/>
    <mergeCell ref="C2:C3"/>
    <mergeCell ref="D2:D3"/>
    <mergeCell ref="E2:E3"/>
    <mergeCell ref="F2:H2"/>
    <mergeCell ref="I2:I3"/>
    <mergeCell ref="J2:J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1133E-AEE3-41E0-91A7-EF601A0C6942}">
  <sheetPr>
    <tabColor rgb="FF002060"/>
  </sheetPr>
  <dimension ref="A1:R32"/>
  <sheetViews>
    <sheetView view="pageBreakPreview" zoomScaleNormal="87" zoomScaleSheetLayoutView="100" workbookViewId="0">
      <pane ySplit="3" topLeftCell="A28" activePane="bottomLeft" state="frozen"/>
      <selection activeCell="D9" sqref="D9"/>
      <selection pane="bottomLeft" activeCell="G4" sqref="G4"/>
    </sheetView>
  </sheetViews>
  <sheetFormatPr defaultColWidth="8.6328125" defaultRowHeight="17" x14ac:dyDescent="0.7"/>
  <cols>
    <col min="1" max="1" width="4.54296875" style="271" bestFit="1" customWidth="1"/>
    <col min="2" max="2" width="43" style="210" bestFit="1" customWidth="1"/>
    <col min="3" max="3" width="8.36328125" style="272" bestFit="1" customWidth="1"/>
    <col min="4" max="4" width="4.36328125" style="210" bestFit="1" customWidth="1"/>
    <col min="5" max="5" width="4" style="210" bestFit="1" customWidth="1"/>
    <col min="6" max="6" width="6.54296875" style="210" bestFit="1" customWidth="1"/>
    <col min="7" max="7" width="7.54296875" style="210" bestFit="1" customWidth="1"/>
    <col min="8" max="8" width="5.81640625" style="210" bestFit="1" customWidth="1"/>
    <col min="9" max="9" width="8.453125" style="273" bestFit="1" customWidth="1"/>
    <col min="10" max="10" width="8.36328125" style="210" bestFit="1" customWidth="1"/>
    <col min="11" max="13" width="8.6328125" style="210"/>
    <col min="14" max="14" width="12.90625" style="210" bestFit="1" customWidth="1"/>
    <col min="15" max="15" width="2.90625" style="210" bestFit="1" customWidth="1"/>
    <col min="16" max="16" width="1.6328125" style="210" bestFit="1" customWidth="1"/>
    <col min="17" max="17" width="2.54296875" style="210" bestFit="1" customWidth="1"/>
    <col min="18" max="18" width="2" style="210" bestFit="1" customWidth="1"/>
    <col min="19" max="16384" width="8.6328125" style="210"/>
  </cols>
  <sheetData>
    <row r="1" spans="1:18" ht="17.5" thickBot="1" x14ac:dyDescent="0.75">
      <c r="A1" s="408" t="s">
        <v>352</v>
      </c>
      <c r="B1" s="409"/>
      <c r="C1" s="409"/>
      <c r="D1" s="409"/>
      <c r="E1" s="409"/>
      <c r="F1" s="409"/>
      <c r="G1" s="409"/>
      <c r="H1" s="409"/>
      <c r="I1" s="409"/>
      <c r="J1" s="410"/>
    </row>
    <row r="2" spans="1:18" s="215" customFormat="1" ht="34" x14ac:dyDescent="0.35">
      <c r="A2" s="377" t="s">
        <v>2</v>
      </c>
      <c r="B2" s="373" t="s">
        <v>158</v>
      </c>
      <c r="C2" s="373" t="s">
        <v>159</v>
      </c>
      <c r="D2" s="373" t="s">
        <v>160</v>
      </c>
      <c r="E2" s="373" t="s">
        <v>22</v>
      </c>
      <c r="F2" s="373" t="s">
        <v>161</v>
      </c>
      <c r="G2" s="373"/>
      <c r="H2" s="373"/>
      <c r="I2" s="411" t="s">
        <v>5</v>
      </c>
      <c r="J2" s="413" t="s">
        <v>8</v>
      </c>
      <c r="N2" s="215" t="s">
        <v>353</v>
      </c>
    </row>
    <row r="3" spans="1:18" s="215" customFormat="1" x14ac:dyDescent="0.35">
      <c r="A3" s="378"/>
      <c r="B3" s="374"/>
      <c r="C3" s="374"/>
      <c r="D3" s="374"/>
      <c r="E3" s="374"/>
      <c r="F3" s="320" t="s">
        <v>162</v>
      </c>
      <c r="G3" s="320" t="s">
        <v>163</v>
      </c>
      <c r="H3" s="320" t="s">
        <v>164</v>
      </c>
      <c r="I3" s="412"/>
      <c r="J3" s="414"/>
      <c r="N3" s="215" t="s">
        <v>227</v>
      </c>
      <c r="O3" s="215">
        <v>60</v>
      </c>
      <c r="P3" s="215" t="s">
        <v>227</v>
      </c>
      <c r="Q3" s="215" t="s">
        <v>354</v>
      </c>
      <c r="R3" s="215" t="s">
        <v>229</v>
      </c>
    </row>
    <row r="4" spans="1:18" ht="51" x14ac:dyDescent="0.7">
      <c r="A4" s="260">
        <v>1</v>
      </c>
      <c r="B4" s="145" t="s">
        <v>355</v>
      </c>
      <c r="C4" s="249"/>
      <c r="D4" s="261"/>
      <c r="E4" s="249"/>
      <c r="F4" s="249"/>
      <c r="G4" s="249"/>
      <c r="H4" s="249"/>
      <c r="I4" s="262"/>
      <c r="J4" s="191"/>
    </row>
    <row r="5" spans="1:18" x14ac:dyDescent="0.7">
      <c r="A5" s="260"/>
      <c r="B5" s="132" t="s">
        <v>356</v>
      </c>
      <c r="C5" s="249" t="s">
        <v>46</v>
      </c>
      <c r="D5" s="261" t="s">
        <v>223</v>
      </c>
      <c r="E5" s="249">
        <v>1</v>
      </c>
      <c r="F5" s="249">
        <v>50</v>
      </c>
      <c r="G5" s="249">
        <v>1</v>
      </c>
      <c r="H5" s="249">
        <v>0.125</v>
      </c>
      <c r="I5" s="263">
        <f>PRODUCT(E5:H5)</f>
        <v>6.25</v>
      </c>
      <c r="J5" s="191"/>
    </row>
    <row r="6" spans="1:18" x14ac:dyDescent="0.7">
      <c r="A6" s="260"/>
      <c r="B6" s="62" t="s">
        <v>357</v>
      </c>
      <c r="C6" s="249" t="s">
        <v>56</v>
      </c>
      <c r="D6" s="261" t="s">
        <v>223</v>
      </c>
      <c r="E6" s="249"/>
      <c r="F6" s="249"/>
      <c r="G6" s="249"/>
      <c r="H6" s="249"/>
      <c r="I6" s="263">
        <f>I5*65</f>
        <v>406.25</v>
      </c>
      <c r="J6" s="191"/>
    </row>
    <row r="7" spans="1:18" ht="51" x14ac:dyDescent="0.7">
      <c r="A7" s="260">
        <v>2</v>
      </c>
      <c r="B7" s="145" t="s">
        <v>358</v>
      </c>
      <c r="C7" s="249"/>
      <c r="D7" s="261"/>
      <c r="E7" s="249"/>
      <c r="F7" s="249"/>
      <c r="G7" s="249"/>
      <c r="H7" s="249"/>
      <c r="I7" s="262"/>
      <c r="J7" s="191"/>
    </row>
    <row r="8" spans="1:18" x14ac:dyDescent="0.7">
      <c r="A8" s="260" t="s">
        <v>245</v>
      </c>
      <c r="B8" s="132" t="s">
        <v>359</v>
      </c>
      <c r="C8" s="249"/>
      <c r="D8" s="261"/>
      <c r="E8" s="249"/>
      <c r="F8" s="249"/>
      <c r="G8" s="249"/>
      <c r="H8" s="249"/>
      <c r="I8" s="263">
        <f>G8*F8*H8</f>
        <v>0</v>
      </c>
      <c r="J8" s="191"/>
    </row>
    <row r="9" spans="1:18" x14ac:dyDescent="0.7">
      <c r="A9" s="260" t="s">
        <v>99</v>
      </c>
      <c r="B9" s="132" t="s">
        <v>360</v>
      </c>
      <c r="C9" s="249" t="s">
        <v>361</v>
      </c>
      <c r="D9" s="261" t="s">
        <v>222</v>
      </c>
      <c r="E9" s="249">
        <v>4</v>
      </c>
      <c r="F9" s="249">
        <v>4</v>
      </c>
      <c r="G9" s="249"/>
      <c r="H9" s="249"/>
      <c r="I9" s="263">
        <f>E9*F9*8/1000</f>
        <v>0.128</v>
      </c>
      <c r="J9" s="191"/>
    </row>
    <row r="10" spans="1:18" x14ac:dyDescent="0.7">
      <c r="A10" s="260" t="s">
        <v>101</v>
      </c>
      <c r="B10" s="132" t="s">
        <v>362</v>
      </c>
      <c r="C10" s="249" t="s">
        <v>361</v>
      </c>
      <c r="D10" s="261" t="s">
        <v>222</v>
      </c>
      <c r="E10" s="249">
        <v>6</v>
      </c>
      <c r="F10" s="249">
        <v>4.45</v>
      </c>
      <c r="G10" s="249"/>
      <c r="H10" s="249"/>
      <c r="I10" s="263">
        <f>E10*F10*5/1000</f>
        <v>0.13350000000000001</v>
      </c>
      <c r="J10" s="191"/>
    </row>
    <row r="11" spans="1:18" x14ac:dyDescent="0.7">
      <c r="A11" s="260" t="s">
        <v>103</v>
      </c>
      <c r="B11" s="132" t="s">
        <v>362</v>
      </c>
      <c r="C11" s="249" t="s">
        <v>361</v>
      </c>
      <c r="D11" s="261" t="s">
        <v>222</v>
      </c>
      <c r="E11" s="249">
        <v>6</v>
      </c>
      <c r="F11" s="249">
        <v>5.75</v>
      </c>
      <c r="G11" s="249"/>
      <c r="H11" s="249"/>
      <c r="I11" s="263">
        <f>E11*F11*5/1000</f>
        <v>0.17249999999999999</v>
      </c>
      <c r="J11" s="191"/>
    </row>
    <row r="12" spans="1:18" x14ac:dyDescent="0.7">
      <c r="A12" s="260" t="s">
        <v>248</v>
      </c>
      <c r="B12" s="132" t="s">
        <v>363</v>
      </c>
      <c r="C12" s="249" t="s">
        <v>54</v>
      </c>
      <c r="D12" s="261" t="s">
        <v>222</v>
      </c>
      <c r="E12" s="249"/>
      <c r="F12" s="249"/>
      <c r="G12" s="249"/>
      <c r="H12" s="249"/>
      <c r="I12" s="263">
        <v>2</v>
      </c>
      <c r="J12" s="191"/>
    </row>
    <row r="13" spans="1:18" ht="51" x14ac:dyDescent="0.7">
      <c r="A13" s="260">
        <v>3</v>
      </c>
      <c r="B13" s="145" t="s">
        <v>364</v>
      </c>
      <c r="C13" s="249"/>
      <c r="D13" s="261"/>
      <c r="E13" s="249"/>
      <c r="F13" s="249"/>
      <c r="G13" s="249"/>
      <c r="H13" s="249"/>
      <c r="I13" s="262"/>
      <c r="J13" s="191"/>
    </row>
    <row r="14" spans="1:18" x14ac:dyDescent="0.7">
      <c r="A14" s="260"/>
      <c r="B14" s="132" t="s">
        <v>365</v>
      </c>
      <c r="C14" s="249" t="s">
        <v>12</v>
      </c>
      <c r="D14" s="261" t="s">
        <v>222</v>
      </c>
      <c r="E14" s="249">
        <v>1</v>
      </c>
      <c r="F14" s="249">
        <v>3.5</v>
      </c>
      <c r="G14" s="249">
        <v>6.3</v>
      </c>
      <c r="H14" s="249"/>
      <c r="I14" s="263">
        <f>PRODUCT(E14:H14)</f>
        <v>22.05</v>
      </c>
      <c r="J14" s="191"/>
    </row>
    <row r="15" spans="1:18" x14ac:dyDescent="0.7">
      <c r="A15" s="260"/>
      <c r="B15" s="132" t="s">
        <v>363</v>
      </c>
      <c r="C15" s="249" t="s">
        <v>12</v>
      </c>
      <c r="D15" s="261" t="s">
        <v>222</v>
      </c>
      <c r="E15" s="249">
        <v>1</v>
      </c>
      <c r="F15" s="249"/>
      <c r="G15" s="249"/>
      <c r="H15" s="249"/>
      <c r="I15" s="263">
        <v>145</v>
      </c>
      <c r="J15" s="191"/>
    </row>
    <row r="16" spans="1:18" x14ac:dyDescent="0.7">
      <c r="A16" s="260"/>
      <c r="B16" s="132" t="s">
        <v>359</v>
      </c>
      <c r="C16" s="249" t="s">
        <v>12</v>
      </c>
      <c r="D16" s="261" t="s">
        <v>222</v>
      </c>
      <c r="E16" s="249">
        <v>1</v>
      </c>
      <c r="F16" s="249">
        <v>4.45</v>
      </c>
      <c r="G16" s="249">
        <v>5.75</v>
      </c>
      <c r="H16" s="249"/>
      <c r="I16" s="263">
        <f>PRODUCT(E16:H16)</f>
        <v>25.587500000000002</v>
      </c>
      <c r="J16" s="191"/>
    </row>
    <row r="17" spans="1:10" x14ac:dyDescent="0.7">
      <c r="A17" s="260">
        <v>4</v>
      </c>
      <c r="B17" s="145" t="s">
        <v>366</v>
      </c>
      <c r="C17" s="249"/>
      <c r="D17" s="261"/>
      <c r="E17" s="249"/>
      <c r="F17" s="249"/>
      <c r="G17" s="249"/>
      <c r="H17" s="249"/>
      <c r="I17" s="264"/>
      <c r="J17" s="191"/>
    </row>
    <row r="18" spans="1:10" x14ac:dyDescent="0.7">
      <c r="A18" s="260"/>
      <c r="B18" s="132" t="s">
        <v>367</v>
      </c>
      <c r="C18" s="249" t="s">
        <v>12</v>
      </c>
      <c r="D18" s="261" t="s">
        <v>222</v>
      </c>
      <c r="E18" s="249">
        <v>1</v>
      </c>
      <c r="F18" s="249">
        <v>4</v>
      </c>
      <c r="G18" s="249"/>
      <c r="H18" s="249">
        <v>2.15</v>
      </c>
      <c r="I18" s="264">
        <f>PRODUCT(E18:H18)</f>
        <v>8.6</v>
      </c>
      <c r="J18" s="191"/>
    </row>
    <row r="19" spans="1:10" x14ac:dyDescent="0.7">
      <c r="A19" s="260"/>
      <c r="B19" s="132" t="s">
        <v>368</v>
      </c>
      <c r="C19" s="249" t="s">
        <v>12</v>
      </c>
      <c r="D19" s="261" t="s">
        <v>222</v>
      </c>
      <c r="E19" s="249">
        <v>1</v>
      </c>
      <c r="F19" s="249">
        <v>13.4</v>
      </c>
      <c r="G19" s="249"/>
      <c r="H19" s="249">
        <v>16.600000000000001</v>
      </c>
      <c r="I19" s="264">
        <f>PRODUCT(E19:H19)</f>
        <v>222.44000000000003</v>
      </c>
      <c r="J19" s="191"/>
    </row>
    <row r="20" spans="1:10" x14ac:dyDescent="0.7">
      <c r="A20" s="260"/>
      <c r="B20" s="132"/>
      <c r="C20" s="249"/>
      <c r="D20" s="261"/>
      <c r="E20" s="249"/>
      <c r="F20" s="249"/>
      <c r="G20" s="249"/>
      <c r="H20" s="249"/>
      <c r="I20" s="263">
        <f>SUM(I18:I19)</f>
        <v>231.04000000000002</v>
      </c>
      <c r="J20" s="191"/>
    </row>
    <row r="21" spans="1:10" x14ac:dyDescent="0.7">
      <c r="A21" s="260">
        <v>5</v>
      </c>
      <c r="B21" s="145" t="s">
        <v>369</v>
      </c>
      <c r="C21" s="249"/>
      <c r="D21" s="261"/>
      <c r="E21" s="249"/>
      <c r="F21" s="249"/>
      <c r="G21" s="249"/>
      <c r="H21" s="249"/>
      <c r="I21" s="262"/>
      <c r="J21" s="191"/>
    </row>
    <row r="22" spans="1:10" x14ac:dyDescent="0.7">
      <c r="A22" s="260" t="s">
        <v>245</v>
      </c>
      <c r="B22" s="132" t="s">
        <v>370</v>
      </c>
      <c r="C22" s="249" t="s">
        <v>22</v>
      </c>
      <c r="D22" s="261" t="s">
        <v>223</v>
      </c>
      <c r="E22" s="249">
        <v>3</v>
      </c>
      <c r="F22" s="249"/>
      <c r="G22" s="249"/>
      <c r="H22" s="249"/>
      <c r="I22" s="263">
        <f>PRODUCT(E22:H22)</f>
        <v>3</v>
      </c>
      <c r="J22" s="191"/>
    </row>
    <row r="23" spans="1:10" x14ac:dyDescent="0.7">
      <c r="A23" s="260" t="s">
        <v>248</v>
      </c>
      <c r="B23" s="132" t="s">
        <v>371</v>
      </c>
      <c r="C23" s="249" t="s">
        <v>22</v>
      </c>
      <c r="D23" s="261" t="s">
        <v>223</v>
      </c>
      <c r="E23" s="249">
        <v>13</v>
      </c>
      <c r="F23" s="249"/>
      <c r="G23" s="249"/>
      <c r="H23" s="249"/>
      <c r="I23" s="263">
        <f>PRODUCT(E23:H23)</f>
        <v>13</v>
      </c>
      <c r="J23" s="191"/>
    </row>
    <row r="24" spans="1:10" x14ac:dyDescent="0.7">
      <c r="A24" s="260">
        <v>6</v>
      </c>
      <c r="B24" s="327" t="s">
        <v>372</v>
      </c>
      <c r="C24" s="261" t="s">
        <v>64</v>
      </c>
      <c r="D24" s="261"/>
      <c r="E24" s="261">
        <f>15*4</f>
        <v>60</v>
      </c>
      <c r="F24" s="261"/>
      <c r="G24" s="261"/>
      <c r="H24" s="261"/>
      <c r="I24" s="265">
        <f>PRODUCT(E24:H24)</f>
        <v>60</v>
      </c>
      <c r="J24" s="193"/>
    </row>
    <row r="25" spans="1:10" x14ac:dyDescent="0.7">
      <c r="A25" s="260">
        <v>7</v>
      </c>
      <c r="B25" s="62" t="s">
        <v>373</v>
      </c>
      <c r="C25" s="249" t="s">
        <v>46</v>
      </c>
      <c r="D25" s="249" t="s">
        <v>223</v>
      </c>
      <c r="E25" s="249">
        <v>1</v>
      </c>
      <c r="F25" s="249"/>
      <c r="G25" s="249"/>
      <c r="H25" s="249"/>
      <c r="I25" s="263">
        <v>15</v>
      </c>
      <c r="J25" s="191"/>
    </row>
    <row r="26" spans="1:10" x14ac:dyDescent="0.7">
      <c r="A26" s="260">
        <v>8</v>
      </c>
      <c r="B26" s="62" t="s">
        <v>374</v>
      </c>
      <c r="C26" s="249" t="s">
        <v>46</v>
      </c>
      <c r="D26" s="249" t="s">
        <v>223</v>
      </c>
      <c r="E26" s="249">
        <v>1</v>
      </c>
      <c r="F26" s="249"/>
      <c r="G26" s="249"/>
      <c r="H26" s="249"/>
      <c r="I26" s="263">
        <v>5</v>
      </c>
      <c r="J26" s="191"/>
    </row>
    <row r="27" spans="1:10" x14ac:dyDescent="0.7">
      <c r="A27" s="260">
        <v>9</v>
      </c>
      <c r="B27" s="62" t="s">
        <v>375</v>
      </c>
      <c r="C27" s="261" t="s">
        <v>22</v>
      </c>
      <c r="D27" s="62" t="s">
        <v>222</v>
      </c>
      <c r="E27" s="261">
        <v>16</v>
      </c>
      <c r="F27" s="261"/>
      <c r="G27" s="261"/>
      <c r="H27" s="261"/>
      <c r="I27" s="265">
        <v>16</v>
      </c>
      <c r="J27" s="191"/>
    </row>
    <row r="28" spans="1:10" s="270" customFormat="1" ht="34" x14ac:dyDescent="0.35">
      <c r="A28" s="266">
        <v>10</v>
      </c>
      <c r="B28" s="195" t="s">
        <v>376</v>
      </c>
      <c r="C28" s="267" t="s">
        <v>41</v>
      </c>
      <c r="D28" s="54" t="s">
        <v>222</v>
      </c>
      <c r="E28" s="267">
        <v>1</v>
      </c>
      <c r="F28" s="267">
        <f>11.4*2+3.4*2</f>
        <v>29.6</v>
      </c>
      <c r="G28" s="267"/>
      <c r="H28" s="267"/>
      <c r="I28" s="268">
        <v>8</v>
      </c>
      <c r="J28" s="269"/>
    </row>
    <row r="29" spans="1:10" s="270" customFormat="1" x14ac:dyDescent="0.35">
      <c r="A29" s="302">
        <v>11</v>
      </c>
      <c r="B29" s="303" t="s">
        <v>377</v>
      </c>
      <c r="C29" s="303" t="s">
        <v>92</v>
      </c>
      <c r="D29" s="303"/>
      <c r="E29" s="303">
        <v>3</v>
      </c>
      <c r="F29" s="303">
        <v>1.4</v>
      </c>
      <c r="G29" s="303"/>
      <c r="H29" s="303"/>
      <c r="I29" s="304">
        <f>F29*E29</f>
        <v>4.1999999999999993</v>
      </c>
      <c r="J29" s="305"/>
    </row>
    <row r="30" spans="1:10" x14ac:dyDescent="0.7">
      <c r="A30" s="261">
        <v>12</v>
      </c>
      <c r="B30" s="62" t="s">
        <v>378</v>
      </c>
      <c r="C30" s="249"/>
      <c r="D30" s="62"/>
      <c r="E30" s="62"/>
      <c r="F30" s="62"/>
      <c r="G30" s="62"/>
      <c r="H30" s="62"/>
      <c r="I30" s="306"/>
      <c r="J30" s="62"/>
    </row>
    <row r="31" spans="1:10" x14ac:dyDescent="0.7">
      <c r="A31" s="261" t="s">
        <v>99</v>
      </c>
      <c r="B31" s="62" t="s">
        <v>379</v>
      </c>
      <c r="C31" s="249" t="s">
        <v>46</v>
      </c>
      <c r="D31" s="62" t="s">
        <v>222</v>
      </c>
      <c r="E31" s="249">
        <v>10</v>
      </c>
      <c r="F31" s="62">
        <v>0.5</v>
      </c>
      <c r="G31" s="62">
        <v>0.5</v>
      </c>
      <c r="H31" s="62">
        <v>0.5</v>
      </c>
      <c r="I31" s="307">
        <f>E31*F31*G31*H31</f>
        <v>1.25</v>
      </c>
      <c r="J31" s="62"/>
    </row>
    <row r="32" spans="1:10" x14ac:dyDescent="0.7">
      <c r="A32" s="261" t="s">
        <v>101</v>
      </c>
      <c r="B32" s="62" t="s">
        <v>380</v>
      </c>
      <c r="C32" s="249" t="s">
        <v>46</v>
      </c>
      <c r="D32" s="62" t="s">
        <v>222</v>
      </c>
      <c r="E32" s="249">
        <v>4</v>
      </c>
      <c r="F32" s="62">
        <v>0.5</v>
      </c>
      <c r="G32" s="62">
        <v>0.5</v>
      </c>
      <c r="H32" s="62">
        <v>0.5</v>
      </c>
      <c r="I32" s="307">
        <f>E32*F32*G32*H32</f>
        <v>0.5</v>
      </c>
      <c r="J32" s="62"/>
    </row>
  </sheetData>
  <mergeCells count="9">
    <mergeCell ref="A1:J1"/>
    <mergeCell ref="I2:I3"/>
    <mergeCell ref="J2:J3"/>
    <mergeCell ref="A2:A3"/>
    <mergeCell ref="B2:B3"/>
    <mergeCell ref="C2:C3"/>
    <mergeCell ref="D2:D3"/>
    <mergeCell ref="E2:E3"/>
    <mergeCell ref="F2:H2"/>
  </mergeCells>
  <phoneticPr fontId="15" type="noConversion"/>
  <pageMargins left="0.7" right="0.7" top="0.75" bottom="0.75" header="0.3" footer="0.3"/>
  <pageSetup scale="6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9F6F4-080E-4684-8A28-451596BFC995}">
  <sheetPr>
    <tabColor rgb="FF002060"/>
  </sheetPr>
  <dimension ref="A1:J9"/>
  <sheetViews>
    <sheetView workbookViewId="0">
      <selection activeCell="E18" sqref="E18"/>
    </sheetView>
  </sheetViews>
  <sheetFormatPr defaultColWidth="8.6328125" defaultRowHeight="17" x14ac:dyDescent="0.7"/>
  <cols>
    <col min="1" max="1" width="5.36328125" style="76" bestFit="1" customWidth="1"/>
    <col min="2" max="2" width="43.6328125" style="76" bestFit="1" customWidth="1"/>
    <col min="3" max="5" width="8.6328125" style="76"/>
    <col min="6" max="6" width="8.453125" style="76" customWidth="1"/>
    <col min="7" max="7" width="7.54296875" style="76" bestFit="1" customWidth="1"/>
    <col min="8" max="8" width="6.453125" style="76" bestFit="1" customWidth="1"/>
    <col min="9" max="9" width="8.36328125" style="76" bestFit="1" customWidth="1"/>
    <col min="10" max="10" width="38.6328125" style="76" customWidth="1"/>
    <col min="11" max="16384" width="8.6328125" style="76"/>
  </cols>
  <sheetData>
    <row r="1" spans="1:10" ht="17.5" thickBot="1" x14ac:dyDescent="0.75"/>
    <row r="2" spans="1:10" ht="17.5" thickBot="1" x14ac:dyDescent="0.75">
      <c r="A2" s="370" t="s">
        <v>381</v>
      </c>
      <c r="B2" s="371"/>
      <c r="C2" s="371"/>
      <c r="D2" s="371"/>
      <c r="E2" s="371"/>
      <c r="F2" s="371"/>
      <c r="G2" s="371"/>
      <c r="H2" s="371"/>
      <c r="I2" s="371"/>
      <c r="J2" s="372"/>
    </row>
    <row r="3" spans="1:10" x14ac:dyDescent="0.7">
      <c r="A3" s="377" t="s">
        <v>2</v>
      </c>
      <c r="B3" s="379" t="s">
        <v>158</v>
      </c>
      <c r="C3" s="379" t="s">
        <v>159</v>
      </c>
      <c r="D3" s="379" t="s">
        <v>160</v>
      </c>
      <c r="E3" s="379" t="s">
        <v>22</v>
      </c>
      <c r="F3" s="379" t="s">
        <v>161</v>
      </c>
      <c r="G3" s="379"/>
      <c r="H3" s="379"/>
      <c r="I3" s="373" t="s">
        <v>5</v>
      </c>
      <c r="J3" s="375" t="s">
        <v>8</v>
      </c>
    </row>
    <row r="4" spans="1:10" x14ac:dyDescent="0.7">
      <c r="A4" s="378"/>
      <c r="B4" s="380"/>
      <c r="C4" s="380"/>
      <c r="D4" s="380"/>
      <c r="E4" s="380"/>
      <c r="F4" s="324" t="s">
        <v>162</v>
      </c>
      <c r="G4" s="324" t="s">
        <v>163</v>
      </c>
      <c r="H4" s="324" t="s">
        <v>164</v>
      </c>
      <c r="I4" s="374"/>
      <c r="J4" s="376"/>
    </row>
    <row r="5" spans="1:10" x14ac:dyDescent="0.7">
      <c r="A5" s="338">
        <v>1</v>
      </c>
      <c r="B5" s="81" t="s">
        <v>382</v>
      </c>
      <c r="C5" s="133" t="s">
        <v>22</v>
      </c>
      <c r="D5" s="133"/>
      <c r="E5" s="133">
        <v>500</v>
      </c>
      <c r="F5" s="133"/>
      <c r="G5" s="81"/>
      <c r="H5" s="81"/>
      <c r="I5" s="187">
        <f>PRODUCT(E5:H5)</f>
        <v>500</v>
      </c>
      <c r="J5" s="80"/>
    </row>
    <row r="6" spans="1:10" ht="51" x14ac:dyDescent="0.7">
      <c r="A6" s="338">
        <v>2</v>
      </c>
      <c r="B6" s="159" t="s">
        <v>383</v>
      </c>
      <c r="C6" s="79" t="s">
        <v>22</v>
      </c>
      <c r="D6" s="79"/>
      <c r="E6" s="79">
        <f>15*3</f>
        <v>45</v>
      </c>
      <c r="F6" s="81"/>
      <c r="G6" s="81"/>
      <c r="H6" s="81"/>
      <c r="I6" s="187">
        <f>PRODUCT(E6:H6)</f>
        <v>45</v>
      </c>
      <c r="J6" s="149" t="s">
        <v>384</v>
      </c>
    </row>
    <row r="7" spans="1:10" x14ac:dyDescent="0.7">
      <c r="A7" s="338">
        <v>3</v>
      </c>
      <c r="B7" s="81" t="s">
        <v>385</v>
      </c>
      <c r="C7" s="133" t="s">
        <v>22</v>
      </c>
      <c r="D7" s="81"/>
      <c r="E7" s="79">
        <v>100</v>
      </c>
      <c r="F7" s="81"/>
      <c r="G7" s="81"/>
      <c r="H7" s="81"/>
      <c r="I7" s="187">
        <f>PRODUCT(E7:H7)</f>
        <v>100</v>
      </c>
      <c r="J7" s="80"/>
    </row>
    <row r="8" spans="1:10" x14ac:dyDescent="0.7">
      <c r="A8" s="338">
        <v>4</v>
      </c>
      <c r="B8" s="81" t="s">
        <v>386</v>
      </c>
      <c r="C8" s="133" t="s">
        <v>22</v>
      </c>
      <c r="D8" s="81"/>
      <c r="E8" s="79">
        <v>100</v>
      </c>
      <c r="F8" s="81"/>
      <c r="G8" s="81"/>
      <c r="H8" s="81"/>
      <c r="I8" s="187">
        <f>PRODUCT(E8:H8)</f>
        <v>100</v>
      </c>
      <c r="J8" s="80"/>
    </row>
    <row r="9" spans="1:10" ht="17.5" thickBot="1" x14ac:dyDescent="0.75">
      <c r="A9" s="164">
        <v>5</v>
      </c>
      <c r="B9" s="188" t="s">
        <v>387</v>
      </c>
      <c r="C9" s="165" t="s">
        <v>22</v>
      </c>
      <c r="D9" s="188"/>
      <c r="E9" s="189">
        <v>15</v>
      </c>
      <c r="F9" s="188"/>
      <c r="G9" s="188"/>
      <c r="H9" s="188"/>
      <c r="I9" s="190">
        <f>PRODUCT(E9:H9)</f>
        <v>15</v>
      </c>
      <c r="J9" s="161"/>
    </row>
  </sheetData>
  <mergeCells count="9">
    <mergeCell ref="A2:J2"/>
    <mergeCell ref="I3:I4"/>
    <mergeCell ref="J3:J4"/>
    <mergeCell ref="A3:A4"/>
    <mergeCell ref="B3:B4"/>
    <mergeCell ref="C3:C4"/>
    <mergeCell ref="D3:D4"/>
    <mergeCell ref="E3:E4"/>
    <mergeCell ref="F3:H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52D26-7BC2-49FC-A8F7-24EFABABBAD1}">
  <sheetPr>
    <tabColor rgb="FF002060"/>
    <pageSetUpPr fitToPage="1"/>
  </sheetPr>
  <dimension ref="A1:R70"/>
  <sheetViews>
    <sheetView view="pageBreakPreview" zoomScale="85" zoomScaleNormal="70" zoomScaleSheetLayoutView="85" workbookViewId="0">
      <pane ySplit="3" topLeftCell="A58" activePane="bottomLeft" state="frozen"/>
      <selection activeCell="D9" sqref="D9"/>
      <selection pane="bottomLeft" activeCell="E5" sqref="E5"/>
    </sheetView>
  </sheetViews>
  <sheetFormatPr defaultColWidth="8.6328125" defaultRowHeight="17" x14ac:dyDescent="0.35"/>
  <cols>
    <col min="1" max="1" width="5.36328125" style="476" bestFit="1" customWidth="1"/>
    <col min="2" max="2" width="35.36328125" style="216" customWidth="1"/>
    <col min="3" max="5" width="9.36328125" style="90" customWidth="1"/>
    <col min="6" max="8" width="12.36328125" style="90" customWidth="1"/>
    <col min="9" max="9" width="9.36328125" style="90" customWidth="1"/>
    <col min="10" max="10" width="16.6328125" style="476" customWidth="1"/>
    <col min="11" max="11" width="8.6328125" style="476"/>
    <col min="12" max="12" width="20.36328125" style="476" bestFit="1" customWidth="1"/>
    <col min="13" max="16384" width="8.6328125" style="476"/>
  </cols>
  <sheetData>
    <row r="1" spans="1:10" ht="20" x14ac:dyDescent="0.35">
      <c r="A1" s="473" t="s">
        <v>388</v>
      </c>
      <c r="B1" s="474"/>
      <c r="C1" s="474"/>
      <c r="D1" s="474"/>
      <c r="E1" s="474"/>
      <c r="F1" s="474"/>
      <c r="G1" s="474"/>
      <c r="H1" s="474"/>
      <c r="I1" s="474"/>
      <c r="J1" s="475"/>
    </row>
    <row r="2" spans="1:10" s="77" customFormat="1" x14ac:dyDescent="0.35">
      <c r="A2" s="378" t="s">
        <v>2</v>
      </c>
      <c r="B2" s="374" t="s">
        <v>158</v>
      </c>
      <c r="C2" s="380" t="s">
        <v>159</v>
      </c>
      <c r="D2" s="380" t="s">
        <v>160</v>
      </c>
      <c r="E2" s="380" t="s">
        <v>22</v>
      </c>
      <c r="F2" s="380" t="s">
        <v>161</v>
      </c>
      <c r="G2" s="380"/>
      <c r="H2" s="380"/>
      <c r="I2" s="374" t="s">
        <v>5</v>
      </c>
      <c r="J2" s="376" t="s">
        <v>8</v>
      </c>
    </row>
    <row r="3" spans="1:10" s="77" customFormat="1" x14ac:dyDescent="0.35">
      <c r="A3" s="378"/>
      <c r="B3" s="374"/>
      <c r="C3" s="380"/>
      <c r="D3" s="380"/>
      <c r="E3" s="380"/>
      <c r="F3" s="324" t="s">
        <v>162</v>
      </c>
      <c r="G3" s="324" t="s">
        <v>163</v>
      </c>
      <c r="H3" s="324" t="s">
        <v>164</v>
      </c>
      <c r="I3" s="374"/>
      <c r="J3" s="376"/>
    </row>
    <row r="4" spans="1:10" s="77" customFormat="1" ht="34" x14ac:dyDescent="0.35">
      <c r="A4" s="322" t="s">
        <v>176</v>
      </c>
      <c r="B4" s="176" t="s">
        <v>389</v>
      </c>
      <c r="C4" s="324"/>
      <c r="D4" s="324"/>
      <c r="E4" s="324"/>
      <c r="F4" s="324"/>
      <c r="G4" s="324"/>
      <c r="H4" s="324"/>
      <c r="I4" s="320"/>
      <c r="J4" s="321"/>
    </row>
    <row r="5" spans="1:10" s="77" customFormat="1" x14ac:dyDescent="0.35">
      <c r="A5" s="322">
        <v>1</v>
      </c>
      <c r="B5" s="176" t="s">
        <v>390</v>
      </c>
      <c r="C5" s="324"/>
      <c r="D5" s="324"/>
      <c r="E5" s="324"/>
      <c r="F5" s="324"/>
      <c r="G5" s="324"/>
      <c r="H5" s="324"/>
      <c r="I5" s="320"/>
      <c r="J5" s="321"/>
    </row>
    <row r="6" spans="1:10" x14ac:dyDescent="0.35">
      <c r="A6" s="477"/>
      <c r="B6" s="327" t="s">
        <v>391</v>
      </c>
      <c r="C6" s="79" t="s">
        <v>12</v>
      </c>
      <c r="D6" s="79" t="s">
        <v>223</v>
      </c>
      <c r="E6" s="79">
        <f>2*15</f>
        <v>30</v>
      </c>
      <c r="F6" s="79">
        <v>9.5</v>
      </c>
      <c r="G6" s="79"/>
      <c r="H6" s="79">
        <v>0.95</v>
      </c>
      <c r="I6" s="79">
        <f>PRODUCT(E6:H6)</f>
        <v>270.75</v>
      </c>
      <c r="J6" s="478" t="s">
        <v>392</v>
      </c>
    </row>
    <row r="7" spans="1:10" x14ac:dyDescent="0.35">
      <c r="A7" s="477"/>
      <c r="B7" s="327" t="s">
        <v>393</v>
      </c>
      <c r="C7" s="79" t="s">
        <v>12</v>
      </c>
      <c r="D7" s="79" t="s">
        <v>223</v>
      </c>
      <c r="E7" s="79">
        <f t="shared" ref="E7:E13" si="0">2*15</f>
        <v>30</v>
      </c>
      <c r="F7" s="79">
        <v>3.35</v>
      </c>
      <c r="G7" s="79"/>
      <c r="H7" s="79">
        <v>0.98</v>
      </c>
      <c r="I7" s="79">
        <f t="shared" ref="I7:I17" si="1">PRODUCT(E7:H7)</f>
        <v>98.49</v>
      </c>
      <c r="J7" s="478" t="s">
        <v>392</v>
      </c>
    </row>
    <row r="8" spans="1:10" x14ac:dyDescent="0.35">
      <c r="A8" s="477"/>
      <c r="B8" s="327" t="s">
        <v>394</v>
      </c>
      <c r="C8" s="79" t="s">
        <v>12</v>
      </c>
      <c r="D8" s="79" t="s">
        <v>223</v>
      </c>
      <c r="E8" s="79">
        <f t="shared" si="0"/>
        <v>30</v>
      </c>
      <c r="F8" s="79">
        <v>9.5</v>
      </c>
      <c r="G8" s="79"/>
      <c r="H8" s="79">
        <v>0.54</v>
      </c>
      <c r="I8" s="79">
        <f t="shared" si="1"/>
        <v>153.9</v>
      </c>
      <c r="J8" s="478" t="s">
        <v>392</v>
      </c>
    </row>
    <row r="9" spans="1:10" x14ac:dyDescent="0.35">
      <c r="A9" s="477"/>
      <c r="B9" s="327" t="s">
        <v>395</v>
      </c>
      <c r="C9" s="79" t="s">
        <v>12</v>
      </c>
      <c r="D9" s="79" t="s">
        <v>223</v>
      </c>
      <c r="E9" s="79">
        <f t="shared" si="0"/>
        <v>30</v>
      </c>
      <c r="F9" s="79">
        <v>3.35</v>
      </c>
      <c r="G9" s="79"/>
      <c r="H9" s="79">
        <v>0.65</v>
      </c>
      <c r="I9" s="79">
        <f t="shared" si="1"/>
        <v>65.325000000000003</v>
      </c>
      <c r="J9" s="478" t="s">
        <v>392</v>
      </c>
    </row>
    <row r="10" spans="1:10" x14ac:dyDescent="0.35">
      <c r="A10" s="477"/>
      <c r="B10" s="327" t="s">
        <v>396</v>
      </c>
      <c r="C10" s="79" t="s">
        <v>12</v>
      </c>
      <c r="D10" s="79" t="s">
        <v>223</v>
      </c>
      <c r="E10" s="79">
        <f t="shared" si="0"/>
        <v>30</v>
      </c>
      <c r="F10" s="79">
        <v>5.3</v>
      </c>
      <c r="G10" s="79"/>
      <c r="H10" s="79">
        <v>1.26</v>
      </c>
      <c r="I10" s="79">
        <f t="shared" si="1"/>
        <v>200.34</v>
      </c>
      <c r="J10" s="478" t="s">
        <v>392</v>
      </c>
    </row>
    <row r="11" spans="1:10" x14ac:dyDescent="0.35">
      <c r="A11" s="477"/>
      <c r="B11" s="327" t="s">
        <v>397</v>
      </c>
      <c r="C11" s="79" t="s">
        <v>12</v>
      </c>
      <c r="D11" s="79" t="s">
        <v>223</v>
      </c>
      <c r="E11" s="79">
        <f t="shared" si="0"/>
        <v>30</v>
      </c>
      <c r="F11" s="79">
        <v>1.95</v>
      </c>
      <c r="G11" s="79"/>
      <c r="H11" s="79">
        <v>0.94</v>
      </c>
      <c r="I11" s="79">
        <f t="shared" si="1"/>
        <v>54.989999999999995</v>
      </c>
      <c r="J11" s="478" t="s">
        <v>392</v>
      </c>
    </row>
    <row r="12" spans="1:10" x14ac:dyDescent="0.35">
      <c r="A12" s="479">
        <v>2</v>
      </c>
      <c r="B12" s="176" t="s">
        <v>398</v>
      </c>
      <c r="C12" s="79"/>
      <c r="D12" s="79"/>
      <c r="E12" s="79"/>
      <c r="F12" s="79"/>
      <c r="G12" s="79"/>
      <c r="H12" s="79"/>
      <c r="I12" s="324">
        <f>SUM(I6:I11)</f>
        <v>843.79500000000007</v>
      </c>
      <c r="J12" s="478"/>
    </row>
    <row r="13" spans="1:10" x14ac:dyDescent="0.35">
      <c r="A13" s="479"/>
      <c r="B13" s="327" t="s">
        <v>399</v>
      </c>
      <c r="C13" s="79" t="s">
        <v>12</v>
      </c>
      <c r="D13" s="79" t="s">
        <v>223</v>
      </c>
      <c r="E13" s="79">
        <f t="shared" si="0"/>
        <v>30</v>
      </c>
      <c r="F13" s="79">
        <f>2.35+3.4</f>
        <v>5.75</v>
      </c>
      <c r="G13" s="79"/>
      <c r="H13" s="79">
        <v>0.47</v>
      </c>
      <c r="I13" s="79">
        <f t="shared" si="1"/>
        <v>81.074999999999989</v>
      </c>
      <c r="J13" s="478"/>
    </row>
    <row r="14" spans="1:10" x14ac:dyDescent="0.35">
      <c r="A14" s="479"/>
      <c r="B14" s="327" t="s">
        <v>400</v>
      </c>
      <c r="C14" s="79" t="s">
        <v>12</v>
      </c>
      <c r="D14" s="79" t="s">
        <v>222</v>
      </c>
      <c r="E14" s="79">
        <v>1</v>
      </c>
      <c r="F14" s="79">
        <f>25+15+120+70+130+160</f>
        <v>520</v>
      </c>
      <c r="G14" s="79"/>
      <c r="H14" s="79">
        <v>0.43</v>
      </c>
      <c r="I14" s="79">
        <f t="shared" si="1"/>
        <v>223.6</v>
      </c>
      <c r="J14" s="478"/>
    </row>
    <row r="15" spans="1:10" x14ac:dyDescent="0.35">
      <c r="A15" s="479"/>
      <c r="B15" s="327" t="s">
        <v>400</v>
      </c>
      <c r="C15" s="79" t="s">
        <v>12</v>
      </c>
      <c r="D15" s="79" t="s">
        <v>187</v>
      </c>
      <c r="E15" s="79">
        <v>1</v>
      </c>
      <c r="F15" s="79">
        <f>270+130+125</f>
        <v>525</v>
      </c>
      <c r="G15" s="79"/>
      <c r="H15" s="79">
        <v>0.43</v>
      </c>
      <c r="I15" s="79">
        <f t="shared" si="1"/>
        <v>225.75</v>
      </c>
      <c r="J15" s="478"/>
    </row>
    <row r="16" spans="1:10" x14ac:dyDescent="0.35">
      <c r="A16" s="479"/>
      <c r="B16" s="327" t="s">
        <v>401</v>
      </c>
      <c r="C16" s="79" t="s">
        <v>12</v>
      </c>
      <c r="D16" s="79" t="s">
        <v>223</v>
      </c>
      <c r="E16" s="79">
        <v>2</v>
      </c>
      <c r="F16" s="79">
        <v>85</v>
      </c>
      <c r="G16" s="79"/>
      <c r="H16" s="79">
        <v>0.46</v>
      </c>
      <c r="I16" s="79">
        <f t="shared" si="1"/>
        <v>78.2</v>
      </c>
      <c r="J16" s="478"/>
    </row>
    <row r="17" spans="1:18" x14ac:dyDescent="0.35">
      <c r="A17" s="479"/>
      <c r="B17" s="327" t="s">
        <v>402</v>
      </c>
      <c r="C17" s="79" t="s">
        <v>12</v>
      </c>
      <c r="D17" s="79" t="s">
        <v>187</v>
      </c>
      <c r="E17" s="79">
        <v>1</v>
      </c>
      <c r="F17" s="79">
        <f>200+45+65+160+130</f>
        <v>600</v>
      </c>
      <c r="G17" s="79"/>
      <c r="H17" s="79">
        <v>0.36</v>
      </c>
      <c r="I17" s="79">
        <f t="shared" si="1"/>
        <v>216</v>
      </c>
      <c r="J17" s="478"/>
    </row>
    <row r="18" spans="1:18" x14ac:dyDescent="0.35">
      <c r="A18" s="479">
        <v>3</v>
      </c>
      <c r="B18" s="178" t="s">
        <v>403</v>
      </c>
      <c r="C18" s="79"/>
      <c r="D18" s="79"/>
      <c r="E18" s="114"/>
      <c r="F18" s="79"/>
      <c r="G18" s="79"/>
      <c r="H18" s="112"/>
      <c r="I18" s="324">
        <f>SUM(I13:I17)</f>
        <v>824.625</v>
      </c>
      <c r="J18" s="478"/>
    </row>
    <row r="19" spans="1:18" x14ac:dyDescent="0.35">
      <c r="A19" s="479"/>
      <c r="B19" s="182" t="s">
        <v>404</v>
      </c>
      <c r="C19" s="79" t="s">
        <v>12</v>
      </c>
      <c r="D19" s="79" t="s">
        <v>223</v>
      </c>
      <c r="E19" s="114">
        <v>15</v>
      </c>
      <c r="F19" s="79">
        <v>11.2</v>
      </c>
      <c r="G19" s="79"/>
      <c r="H19" s="112">
        <f>(1.26+0.83)/2</f>
        <v>1.0449999999999999</v>
      </c>
      <c r="I19" s="79">
        <f>PRODUCT(E19:H19)</f>
        <v>175.56</v>
      </c>
      <c r="J19" s="478"/>
    </row>
    <row r="20" spans="1:18" x14ac:dyDescent="0.35">
      <c r="A20" s="479"/>
      <c r="B20" s="182" t="s">
        <v>405</v>
      </c>
      <c r="C20" s="79" t="s">
        <v>12</v>
      </c>
      <c r="D20" s="79" t="s">
        <v>223</v>
      </c>
      <c r="E20" s="114">
        <v>15</v>
      </c>
      <c r="F20" s="79">
        <v>5.18</v>
      </c>
      <c r="G20" s="79"/>
      <c r="H20" s="112">
        <f>(1.78+1.49)/2</f>
        <v>1.635</v>
      </c>
      <c r="I20" s="79">
        <f>PRODUCT(E20:H20)</f>
        <v>127.03949999999998</v>
      </c>
      <c r="J20" s="478"/>
    </row>
    <row r="21" spans="1:18" x14ac:dyDescent="0.35">
      <c r="A21" s="479"/>
      <c r="B21" s="182" t="s">
        <v>406</v>
      </c>
      <c r="C21" s="79" t="s">
        <v>12</v>
      </c>
      <c r="D21" s="79" t="s">
        <v>223</v>
      </c>
      <c r="E21" s="114">
        <v>15</v>
      </c>
      <c r="F21" s="79">
        <f>9.5+1.79</f>
        <v>11.29</v>
      </c>
      <c r="G21" s="79"/>
      <c r="H21" s="79">
        <v>0.78</v>
      </c>
      <c r="I21" s="79">
        <f>PRODUCT(E21:H21)</f>
        <v>132.09299999999999</v>
      </c>
      <c r="J21" s="478"/>
    </row>
    <row r="22" spans="1:18" x14ac:dyDescent="0.35">
      <c r="A22" s="479"/>
      <c r="B22" s="182" t="s">
        <v>407</v>
      </c>
      <c r="C22" s="79" t="s">
        <v>12</v>
      </c>
      <c r="D22" s="79" t="s">
        <v>223</v>
      </c>
      <c r="E22" s="114">
        <v>15</v>
      </c>
      <c r="F22" s="79">
        <v>4.3499999999999996</v>
      </c>
      <c r="G22" s="79"/>
      <c r="H22" s="114">
        <f>(1.75+1.51)/2</f>
        <v>1.63</v>
      </c>
      <c r="I22" s="79">
        <f>PRODUCT(E22:H22)</f>
        <v>106.35749999999999</v>
      </c>
      <c r="J22" s="478"/>
    </row>
    <row r="23" spans="1:18" x14ac:dyDescent="0.35">
      <c r="A23" s="479">
        <v>4</v>
      </c>
      <c r="B23" s="178" t="s">
        <v>408</v>
      </c>
      <c r="C23" s="79"/>
      <c r="D23" s="79"/>
      <c r="E23" s="79"/>
      <c r="F23" s="79"/>
      <c r="G23" s="79"/>
      <c r="H23" s="79"/>
      <c r="I23" s="324">
        <f>SUM(I19:I22)</f>
        <v>541.04999999999995</v>
      </c>
      <c r="J23" s="478"/>
    </row>
    <row r="24" spans="1:18" x14ac:dyDescent="0.35">
      <c r="A24" s="477"/>
      <c r="B24" s="182" t="s">
        <v>409</v>
      </c>
      <c r="C24" s="79"/>
      <c r="D24" s="79"/>
      <c r="E24" s="79">
        <v>63</v>
      </c>
      <c r="F24" s="79">
        <v>0.85</v>
      </c>
      <c r="G24" s="79"/>
      <c r="H24" s="79">
        <v>0.23</v>
      </c>
      <c r="I24" s="79">
        <f>PRODUCT(E24:H24)</f>
        <v>12.3165</v>
      </c>
      <c r="J24" s="478"/>
    </row>
    <row r="25" spans="1:18" x14ac:dyDescent="0.35">
      <c r="A25" s="477"/>
      <c r="B25" s="182" t="s">
        <v>410</v>
      </c>
      <c r="C25" s="79"/>
      <c r="D25" s="79"/>
      <c r="E25" s="79">
        <f>2*63</f>
        <v>126</v>
      </c>
      <c r="F25" s="79">
        <v>1.2</v>
      </c>
      <c r="G25" s="79"/>
      <c r="H25" s="79">
        <v>0.85</v>
      </c>
      <c r="I25" s="79">
        <f>PRODUCT(E25:H25)</f>
        <v>128.51999999999998</v>
      </c>
      <c r="J25" s="478"/>
    </row>
    <row r="26" spans="1:18" x14ac:dyDescent="0.35">
      <c r="A26" s="477"/>
      <c r="B26" s="182" t="s">
        <v>411</v>
      </c>
      <c r="C26" s="79"/>
      <c r="D26" s="79"/>
      <c r="E26" s="79">
        <f>2*63</f>
        <v>126</v>
      </c>
      <c r="F26" s="79">
        <f>(0.5+0.23)/2</f>
        <v>0.36499999999999999</v>
      </c>
      <c r="G26" s="79"/>
      <c r="H26" s="79">
        <v>0.85</v>
      </c>
      <c r="I26" s="79">
        <f>PRODUCT(E26:H26)</f>
        <v>39.091500000000003</v>
      </c>
      <c r="J26" s="478"/>
    </row>
    <row r="27" spans="1:18" x14ac:dyDescent="0.35">
      <c r="A27" s="480"/>
      <c r="B27" s="274"/>
      <c r="C27" s="335"/>
      <c r="D27" s="335"/>
      <c r="E27" s="335"/>
      <c r="F27" s="335"/>
      <c r="G27" s="335"/>
      <c r="H27" s="336"/>
      <c r="I27" s="324">
        <f>SUM(I24:I26)</f>
        <v>179.92799999999997</v>
      </c>
      <c r="J27" s="478"/>
    </row>
    <row r="28" spans="1:18" x14ac:dyDescent="0.35">
      <c r="A28" s="481" t="s">
        <v>412</v>
      </c>
      <c r="B28" s="482"/>
      <c r="C28" s="482"/>
      <c r="D28" s="482"/>
      <c r="E28" s="482"/>
      <c r="F28" s="482"/>
      <c r="G28" s="482"/>
      <c r="H28" s="483"/>
      <c r="I28" s="174">
        <f>I27+I23+I18+I12</f>
        <v>2389.3980000000001</v>
      </c>
      <c r="J28" s="478"/>
      <c r="R28" s="484"/>
    </row>
    <row r="29" spans="1:18" x14ac:dyDescent="0.35">
      <c r="A29" s="485"/>
      <c r="J29" s="486"/>
    </row>
    <row r="30" spans="1:18" ht="51" x14ac:dyDescent="0.35">
      <c r="A30" s="338" t="s">
        <v>26</v>
      </c>
      <c r="B30" s="176" t="s">
        <v>413</v>
      </c>
      <c r="C30" s="79"/>
      <c r="D30" s="79"/>
      <c r="E30" s="79"/>
      <c r="F30" s="79"/>
      <c r="G30" s="79"/>
      <c r="H30" s="79"/>
      <c r="I30" s="79"/>
      <c r="J30" s="478"/>
    </row>
    <row r="31" spans="1:18" x14ac:dyDescent="0.35">
      <c r="A31" s="477"/>
      <c r="B31" s="132" t="s">
        <v>414</v>
      </c>
      <c r="C31" s="79" t="s">
        <v>415</v>
      </c>
      <c r="D31" s="79" t="s">
        <v>223</v>
      </c>
      <c r="E31" s="79">
        <v>14</v>
      </c>
      <c r="F31" s="79">
        <f>(2.97*2)+(1.6*2)+(1.05*2)+(1.34*7)+(6.6*2)+(6*2)+(0.4*6)+(2.06*2)</f>
        <v>52.339999999999996</v>
      </c>
      <c r="G31" s="79"/>
      <c r="H31" s="79"/>
      <c r="I31" s="174">
        <f>PRODUCT(E31:H31)</f>
        <v>732.76</v>
      </c>
      <c r="J31" s="478"/>
    </row>
    <row r="32" spans="1:18" x14ac:dyDescent="0.35">
      <c r="A32" s="485"/>
      <c r="J32" s="486"/>
    </row>
    <row r="33" spans="1:10" x14ac:dyDescent="0.35">
      <c r="A33" s="485"/>
      <c r="J33" s="486"/>
    </row>
    <row r="34" spans="1:10" ht="51" x14ac:dyDescent="0.35">
      <c r="A34" s="338" t="s">
        <v>32</v>
      </c>
      <c r="B34" s="176" t="s">
        <v>416</v>
      </c>
      <c r="C34" s="79"/>
      <c r="D34" s="79"/>
      <c r="E34" s="79"/>
      <c r="F34" s="79"/>
      <c r="G34" s="79"/>
      <c r="H34" s="79"/>
      <c r="I34" s="79"/>
      <c r="J34" s="478"/>
    </row>
    <row r="35" spans="1:10" x14ac:dyDescent="0.35">
      <c r="A35" s="477"/>
      <c r="B35" s="132" t="s">
        <v>417</v>
      </c>
      <c r="C35" s="79" t="s">
        <v>415</v>
      </c>
      <c r="D35" s="79" t="s">
        <v>222</v>
      </c>
      <c r="E35" s="79">
        <v>1</v>
      </c>
      <c r="F35" s="79">
        <f>100+280+200+40</f>
        <v>620</v>
      </c>
      <c r="G35" s="79"/>
      <c r="H35" s="79"/>
      <c r="I35" s="174">
        <f>PRODUCT(E35:H35)</f>
        <v>620</v>
      </c>
      <c r="J35" s="478"/>
    </row>
    <row r="36" spans="1:10" x14ac:dyDescent="0.35">
      <c r="A36" s="485"/>
      <c r="J36" s="486"/>
    </row>
    <row r="37" spans="1:10" x14ac:dyDescent="0.35">
      <c r="A37" s="485"/>
      <c r="J37" s="486"/>
    </row>
    <row r="38" spans="1:10" ht="34" x14ac:dyDescent="0.35">
      <c r="A38" s="338" t="s">
        <v>195</v>
      </c>
      <c r="B38" s="177" t="s">
        <v>418</v>
      </c>
      <c r="C38" s="79"/>
      <c r="D38" s="79"/>
      <c r="E38" s="79"/>
      <c r="F38" s="79"/>
      <c r="G38" s="79"/>
      <c r="H38" s="79"/>
      <c r="I38" s="79"/>
      <c r="J38" s="478"/>
    </row>
    <row r="39" spans="1:10" x14ac:dyDescent="0.35">
      <c r="A39" s="338"/>
      <c r="B39" s="178" t="s">
        <v>419</v>
      </c>
      <c r="C39" s="79"/>
      <c r="D39" s="79"/>
      <c r="E39" s="79"/>
      <c r="F39" s="79"/>
      <c r="G39" s="79"/>
      <c r="H39" s="79"/>
      <c r="I39" s="79"/>
      <c r="J39" s="478"/>
    </row>
    <row r="40" spans="1:10" x14ac:dyDescent="0.35">
      <c r="A40" s="477"/>
      <c r="B40" s="132" t="s">
        <v>420</v>
      </c>
      <c r="C40" s="79" t="s">
        <v>12</v>
      </c>
      <c r="D40" s="79" t="s">
        <v>222</v>
      </c>
      <c r="E40" s="79">
        <v>6</v>
      </c>
      <c r="F40" s="79">
        <v>3.6</v>
      </c>
      <c r="G40" s="79"/>
      <c r="H40" s="79">
        <v>0.53</v>
      </c>
      <c r="I40" s="79">
        <f t="shared" ref="I40:I45" si="2">PRODUCT(E40:H40)</f>
        <v>11.448000000000002</v>
      </c>
      <c r="J40" s="478"/>
    </row>
    <row r="41" spans="1:10" x14ac:dyDescent="0.35">
      <c r="A41" s="477"/>
      <c r="B41" s="132" t="s">
        <v>421</v>
      </c>
      <c r="C41" s="79" t="s">
        <v>12</v>
      </c>
      <c r="D41" s="79" t="s">
        <v>222</v>
      </c>
      <c r="E41" s="79">
        <v>1</v>
      </c>
      <c r="F41" s="79">
        <v>4.2</v>
      </c>
      <c r="G41" s="79"/>
      <c r="H41" s="79">
        <v>0.53</v>
      </c>
      <c r="I41" s="79">
        <f t="shared" si="2"/>
        <v>2.2260000000000004</v>
      </c>
      <c r="J41" s="478"/>
    </row>
    <row r="42" spans="1:10" x14ac:dyDescent="0.35">
      <c r="A42" s="477"/>
      <c r="B42" s="132"/>
      <c r="C42" s="79" t="s">
        <v>12</v>
      </c>
      <c r="D42" s="79" t="s">
        <v>222</v>
      </c>
      <c r="E42" s="79">
        <v>6</v>
      </c>
      <c r="F42" s="79">
        <v>0.2</v>
      </c>
      <c r="G42" s="79"/>
      <c r="H42" s="79">
        <v>0.15</v>
      </c>
      <c r="I42" s="79">
        <f t="shared" si="2"/>
        <v>0.18000000000000002</v>
      </c>
      <c r="J42" s="478"/>
    </row>
    <row r="43" spans="1:10" x14ac:dyDescent="0.35">
      <c r="A43" s="477"/>
      <c r="B43" s="132"/>
      <c r="C43" s="79" t="s">
        <v>12</v>
      </c>
      <c r="D43" s="79" t="s">
        <v>222</v>
      </c>
      <c r="E43" s="79">
        <v>6</v>
      </c>
      <c r="F43" s="79">
        <v>5.6</v>
      </c>
      <c r="G43" s="79"/>
      <c r="H43" s="79">
        <v>0.1</v>
      </c>
      <c r="I43" s="79">
        <f t="shared" si="2"/>
        <v>3.3599999999999994</v>
      </c>
      <c r="J43" s="478"/>
    </row>
    <row r="44" spans="1:10" x14ac:dyDescent="0.35">
      <c r="A44" s="477"/>
      <c r="B44" s="132"/>
      <c r="C44" s="79" t="s">
        <v>12</v>
      </c>
      <c r="D44" s="79" t="s">
        <v>222</v>
      </c>
      <c r="E44" s="79">
        <v>5</v>
      </c>
      <c r="F44" s="79">
        <v>3.5</v>
      </c>
      <c r="G44" s="79"/>
      <c r="H44" s="79">
        <v>5</v>
      </c>
      <c r="I44" s="79">
        <f t="shared" si="2"/>
        <v>87.5</v>
      </c>
      <c r="J44" s="478"/>
    </row>
    <row r="45" spans="1:10" x14ac:dyDescent="0.35">
      <c r="A45" s="477"/>
      <c r="B45" s="132"/>
      <c r="C45" s="79" t="s">
        <v>12</v>
      </c>
      <c r="D45" s="79" t="s">
        <v>222</v>
      </c>
      <c r="E45" s="79">
        <v>5</v>
      </c>
      <c r="F45" s="79">
        <v>18</v>
      </c>
      <c r="G45" s="79"/>
      <c r="H45" s="79">
        <v>0.15</v>
      </c>
      <c r="I45" s="79">
        <f t="shared" si="2"/>
        <v>13.5</v>
      </c>
      <c r="J45" s="478"/>
    </row>
    <row r="46" spans="1:10" x14ac:dyDescent="0.35">
      <c r="A46" s="338"/>
      <c r="B46" s="178" t="s">
        <v>422</v>
      </c>
      <c r="C46" s="79"/>
      <c r="D46" s="79"/>
      <c r="E46" s="79"/>
      <c r="F46" s="79"/>
      <c r="G46" s="79"/>
      <c r="H46" s="79"/>
      <c r="I46" s="79">
        <f>SUM(I40:I45)</f>
        <v>118.214</v>
      </c>
      <c r="J46" s="478"/>
    </row>
    <row r="47" spans="1:10" x14ac:dyDescent="0.35">
      <c r="A47" s="477"/>
      <c r="B47" s="132" t="s">
        <v>325</v>
      </c>
      <c r="C47" s="79" t="s">
        <v>12</v>
      </c>
      <c r="D47" s="79" t="s">
        <v>222</v>
      </c>
      <c r="E47" s="79">
        <v>5</v>
      </c>
      <c r="F47" s="79">
        <v>2.85</v>
      </c>
      <c r="G47" s="79"/>
      <c r="H47" s="79">
        <v>1</v>
      </c>
      <c r="I47" s="79">
        <f t="shared" ref="I47:I52" si="3">PRODUCT(E47:H47)</f>
        <v>14.25</v>
      </c>
      <c r="J47" s="478"/>
    </row>
    <row r="48" spans="1:10" x14ac:dyDescent="0.35">
      <c r="A48" s="477"/>
      <c r="B48" s="132" t="s">
        <v>423</v>
      </c>
      <c r="C48" s="79" t="s">
        <v>12</v>
      </c>
      <c r="D48" s="79" t="s">
        <v>222</v>
      </c>
      <c r="E48" s="79">
        <v>5</v>
      </c>
      <c r="F48" s="79">
        <v>3.4</v>
      </c>
      <c r="G48" s="79"/>
      <c r="H48" s="79">
        <v>1</v>
      </c>
      <c r="I48" s="79">
        <f t="shared" si="3"/>
        <v>17</v>
      </c>
      <c r="J48" s="478"/>
    </row>
    <row r="49" spans="1:10" x14ac:dyDescent="0.35">
      <c r="A49" s="477"/>
      <c r="B49" s="132" t="s">
        <v>424</v>
      </c>
      <c r="C49" s="79" t="s">
        <v>12</v>
      </c>
      <c r="D49" s="79" t="s">
        <v>222</v>
      </c>
      <c r="E49" s="79">
        <v>5</v>
      </c>
      <c r="F49" s="79">
        <v>5.8</v>
      </c>
      <c r="G49" s="79"/>
      <c r="H49" s="79">
        <v>1</v>
      </c>
      <c r="I49" s="79">
        <f t="shared" si="3"/>
        <v>29</v>
      </c>
      <c r="J49" s="478"/>
    </row>
    <row r="50" spans="1:10" x14ac:dyDescent="0.35">
      <c r="A50" s="477"/>
      <c r="B50" s="132" t="s">
        <v>425</v>
      </c>
      <c r="C50" s="79" t="s">
        <v>12</v>
      </c>
      <c r="D50" s="79" t="s">
        <v>222</v>
      </c>
      <c r="E50" s="79">
        <v>2</v>
      </c>
      <c r="F50" s="79">
        <v>18.2</v>
      </c>
      <c r="G50" s="79"/>
      <c r="H50" s="79">
        <v>1</v>
      </c>
      <c r="I50" s="79">
        <f t="shared" si="3"/>
        <v>36.4</v>
      </c>
      <c r="J50" s="478"/>
    </row>
    <row r="51" spans="1:10" x14ac:dyDescent="0.35">
      <c r="A51" s="477"/>
      <c r="B51" s="132" t="s">
        <v>426</v>
      </c>
      <c r="C51" s="79" t="s">
        <v>12</v>
      </c>
      <c r="D51" s="79" t="s">
        <v>222</v>
      </c>
      <c r="E51" s="79">
        <v>1</v>
      </c>
      <c r="F51" s="79">
        <v>1.25</v>
      </c>
      <c r="G51" s="79"/>
      <c r="H51" s="79">
        <v>4</v>
      </c>
      <c r="I51" s="79">
        <f t="shared" si="3"/>
        <v>5</v>
      </c>
      <c r="J51" s="478"/>
    </row>
    <row r="52" spans="1:10" x14ac:dyDescent="0.35">
      <c r="A52" s="477"/>
      <c r="B52" s="132" t="s">
        <v>427</v>
      </c>
      <c r="C52" s="79" t="s">
        <v>12</v>
      </c>
      <c r="D52" s="79" t="s">
        <v>222</v>
      </c>
      <c r="E52" s="79">
        <v>1</v>
      </c>
      <c r="F52" s="79">
        <v>18.2</v>
      </c>
      <c r="G52" s="79"/>
      <c r="H52" s="79">
        <v>6</v>
      </c>
      <c r="I52" s="79">
        <f t="shared" si="3"/>
        <v>109.19999999999999</v>
      </c>
      <c r="J52" s="478"/>
    </row>
    <row r="53" spans="1:10" x14ac:dyDescent="0.35">
      <c r="A53" s="477"/>
      <c r="B53" s="145" t="s">
        <v>428</v>
      </c>
      <c r="C53" s="79"/>
      <c r="D53" s="79"/>
      <c r="E53" s="79"/>
      <c r="F53" s="79"/>
      <c r="G53" s="79"/>
      <c r="H53" s="79"/>
      <c r="I53" s="324">
        <f>SUM(I47:I52)</f>
        <v>210.85</v>
      </c>
      <c r="J53" s="478"/>
    </row>
    <row r="54" spans="1:10" x14ac:dyDescent="0.35">
      <c r="A54" s="477"/>
      <c r="B54" s="132" t="s">
        <v>429</v>
      </c>
      <c r="C54" s="79" t="s">
        <v>12</v>
      </c>
      <c r="D54" s="79" t="s">
        <v>222</v>
      </c>
      <c r="E54" s="114">
        <v>2</v>
      </c>
      <c r="F54" s="79">
        <v>1.25</v>
      </c>
      <c r="G54" s="79"/>
      <c r="H54" s="79">
        <v>1.1000000000000001</v>
      </c>
      <c r="I54" s="79">
        <f>PRODUCT(E54:H54)</f>
        <v>2.75</v>
      </c>
      <c r="J54" s="478"/>
    </row>
    <row r="55" spans="1:10" x14ac:dyDescent="0.35">
      <c r="A55" s="477"/>
      <c r="B55" s="132" t="s">
        <v>430</v>
      </c>
      <c r="C55" s="79" t="s">
        <v>12</v>
      </c>
      <c r="D55" s="79" t="s">
        <v>222</v>
      </c>
      <c r="E55" s="79">
        <v>2</v>
      </c>
      <c r="F55" s="79">
        <v>1.1000000000000001</v>
      </c>
      <c r="G55" s="79"/>
      <c r="H55" s="79">
        <v>0.55000000000000004</v>
      </c>
      <c r="I55" s="79">
        <f>PRODUCT(E55:H55)</f>
        <v>1.2100000000000002</v>
      </c>
      <c r="J55" s="478"/>
    </row>
    <row r="56" spans="1:10" x14ac:dyDescent="0.35">
      <c r="A56" s="338"/>
      <c r="B56" s="132" t="s">
        <v>431</v>
      </c>
      <c r="C56" s="79" t="s">
        <v>12</v>
      </c>
      <c r="D56" s="79" t="s">
        <v>222</v>
      </c>
      <c r="E56" s="79">
        <v>4</v>
      </c>
      <c r="F56" s="79">
        <v>0.4</v>
      </c>
      <c r="G56" s="79"/>
      <c r="H56" s="79">
        <v>0.16</v>
      </c>
      <c r="I56" s="79">
        <f>PRODUCT(E56:H56)</f>
        <v>0.25600000000000001</v>
      </c>
      <c r="J56" s="478"/>
    </row>
    <row r="57" spans="1:10" x14ac:dyDescent="0.35">
      <c r="A57" s="477"/>
      <c r="B57" s="132" t="s">
        <v>430</v>
      </c>
      <c r="C57" s="79" t="s">
        <v>12</v>
      </c>
      <c r="D57" s="79" t="s">
        <v>222</v>
      </c>
      <c r="E57" s="79">
        <v>1</v>
      </c>
      <c r="F57" s="79">
        <v>0.6</v>
      </c>
      <c r="G57" s="79"/>
      <c r="H57" s="79">
        <v>0.1</v>
      </c>
      <c r="I57" s="79">
        <f>PRODUCT(E57:H57)</f>
        <v>0.06</v>
      </c>
      <c r="J57" s="478"/>
    </row>
    <row r="58" spans="1:10" x14ac:dyDescent="0.35">
      <c r="A58" s="477"/>
      <c r="B58" s="132" t="s">
        <v>426</v>
      </c>
      <c r="C58" s="79" t="s">
        <v>12</v>
      </c>
      <c r="D58" s="79" t="s">
        <v>222</v>
      </c>
      <c r="E58" s="79">
        <v>1</v>
      </c>
      <c r="F58" s="79">
        <v>1.25</v>
      </c>
      <c r="G58" s="79"/>
      <c r="H58" s="79">
        <v>4</v>
      </c>
      <c r="I58" s="79">
        <f>PRODUCT(E58:H58)</f>
        <v>5</v>
      </c>
      <c r="J58" s="478"/>
    </row>
    <row r="59" spans="1:10" x14ac:dyDescent="0.35">
      <c r="A59" s="477"/>
      <c r="B59" s="132"/>
      <c r="C59" s="79"/>
      <c r="D59" s="79"/>
      <c r="E59" s="79"/>
      <c r="F59" s="79"/>
      <c r="G59" s="79"/>
      <c r="H59" s="79"/>
      <c r="I59" s="79">
        <f>SUM(I54:I58)*2</f>
        <v>18.552</v>
      </c>
      <c r="J59" s="478" t="s">
        <v>432</v>
      </c>
    </row>
    <row r="60" spans="1:10" x14ac:dyDescent="0.35">
      <c r="A60" s="477"/>
      <c r="B60" s="132"/>
      <c r="C60" s="79"/>
      <c r="D60" s="79"/>
      <c r="E60" s="79"/>
      <c r="F60" s="79"/>
      <c r="G60" s="79"/>
      <c r="H60" s="79"/>
      <c r="I60" s="174">
        <f>I59+I53+I46</f>
        <v>347.61599999999999</v>
      </c>
      <c r="J60" s="478"/>
    </row>
    <row r="61" spans="1:10" x14ac:dyDescent="0.35">
      <c r="A61" s="485"/>
      <c r="J61" s="486"/>
    </row>
    <row r="62" spans="1:10" x14ac:dyDescent="0.35">
      <c r="A62" s="485"/>
      <c r="J62" s="486"/>
    </row>
    <row r="63" spans="1:10" ht="68" x14ac:dyDescent="0.35">
      <c r="A63" s="179" t="s">
        <v>43</v>
      </c>
      <c r="B63" s="180" t="s">
        <v>433</v>
      </c>
      <c r="C63" s="114"/>
      <c r="D63" s="114"/>
      <c r="E63" s="114"/>
      <c r="F63" s="114"/>
      <c r="G63" s="114"/>
      <c r="H63" s="114"/>
      <c r="I63" s="114"/>
      <c r="J63" s="181"/>
    </row>
    <row r="64" spans="1:10" ht="85" x14ac:dyDescent="0.35">
      <c r="A64" s="179"/>
      <c r="B64" s="182" t="s">
        <v>434</v>
      </c>
      <c r="C64" s="114" t="s">
        <v>12</v>
      </c>
      <c r="D64" s="114" t="s">
        <v>222</v>
      </c>
      <c r="E64" s="114">
        <v>2</v>
      </c>
      <c r="F64" s="114">
        <f>2.9+(0.36*3)</f>
        <v>3.98</v>
      </c>
      <c r="G64" s="114">
        <v>3.9</v>
      </c>
      <c r="H64" s="114"/>
      <c r="I64" s="163">
        <f>PRODUCT(E64:H64)</f>
        <v>31.044</v>
      </c>
      <c r="J64" s="181" t="s">
        <v>435</v>
      </c>
    </row>
    <row r="65" spans="1:17" x14ac:dyDescent="0.35">
      <c r="A65" s="479" t="s">
        <v>65</v>
      </c>
      <c r="B65" s="487" t="s">
        <v>436</v>
      </c>
      <c r="C65" s="79"/>
      <c r="D65" s="79"/>
      <c r="E65" s="79"/>
      <c r="F65" s="79"/>
      <c r="G65" s="79"/>
      <c r="H65" s="79"/>
      <c r="I65" s="79"/>
      <c r="J65" s="478"/>
    </row>
    <row r="66" spans="1:17" x14ac:dyDescent="0.35">
      <c r="A66" s="338"/>
      <c r="B66" s="132" t="s">
        <v>437</v>
      </c>
      <c r="C66" s="79" t="s">
        <v>247</v>
      </c>
      <c r="D66" s="79" t="s">
        <v>223</v>
      </c>
      <c r="E66" s="79">
        <v>16</v>
      </c>
      <c r="F66" s="79">
        <f>N70</f>
        <v>4.7235999999999994</v>
      </c>
      <c r="G66" s="79"/>
      <c r="H66" s="79"/>
      <c r="I66" s="112">
        <f>E66*F66</f>
        <v>75.57759999999999</v>
      </c>
      <c r="J66" s="478"/>
      <c r="L66" s="159" t="s">
        <v>438</v>
      </c>
      <c r="M66" s="159"/>
      <c r="N66" s="162">
        <f>(0.1+0.34)/2*0.59</f>
        <v>0.1298</v>
      </c>
      <c r="O66" s="162"/>
      <c r="P66" s="162" t="s">
        <v>439</v>
      </c>
      <c r="Q66" s="79">
        <f>0.54*2.8</f>
        <v>1.512</v>
      </c>
    </row>
    <row r="67" spans="1:17" x14ac:dyDescent="0.35">
      <c r="A67" s="338"/>
      <c r="B67" s="132"/>
      <c r="C67" s="79"/>
      <c r="D67" s="79"/>
      <c r="E67" s="79"/>
      <c r="F67" s="79"/>
      <c r="G67" s="398" t="s">
        <v>252</v>
      </c>
      <c r="H67" s="400"/>
      <c r="I67" s="184">
        <f>I66</f>
        <v>75.57759999999999</v>
      </c>
      <c r="J67" s="478"/>
      <c r="L67" s="488" t="s">
        <v>440</v>
      </c>
      <c r="M67" s="488"/>
      <c r="N67" s="162">
        <f>(0.6+0.6+0.34)*0.05</f>
        <v>7.7000000000000013E-2</v>
      </c>
      <c r="O67" s="162"/>
      <c r="P67" s="162"/>
      <c r="Q67" s="162"/>
    </row>
    <row r="68" spans="1:17" ht="17.5" thickBot="1" x14ac:dyDescent="0.4">
      <c r="A68" s="164"/>
      <c r="B68" s="489"/>
      <c r="C68" s="165"/>
      <c r="D68" s="165"/>
      <c r="E68" s="165"/>
      <c r="F68" s="165"/>
      <c r="G68" s="389"/>
      <c r="H68" s="390"/>
      <c r="I68" s="186"/>
      <c r="J68" s="490"/>
      <c r="L68" s="488" t="s">
        <v>441</v>
      </c>
      <c r="M68" s="488"/>
      <c r="N68" s="162">
        <f>(2*0.1298)+(2*0.077)*18</f>
        <v>3.0315999999999996</v>
      </c>
      <c r="O68" s="162"/>
      <c r="P68" s="162"/>
      <c r="Q68" s="162"/>
    </row>
    <row r="69" spans="1:17" x14ac:dyDescent="0.35">
      <c r="A69" s="90"/>
      <c r="L69" s="488"/>
      <c r="M69" s="488"/>
      <c r="N69" s="162"/>
      <c r="O69" s="162"/>
      <c r="P69" s="162"/>
      <c r="Q69" s="162"/>
    </row>
    <row r="70" spans="1:17" x14ac:dyDescent="0.35">
      <c r="A70" s="90"/>
      <c r="L70" s="488" t="s">
        <v>442</v>
      </c>
      <c r="M70" s="488"/>
      <c r="N70" s="162">
        <f>(N68+Q66)+0.18</f>
        <v>4.7235999999999994</v>
      </c>
      <c r="O70" s="162"/>
      <c r="P70" s="162"/>
      <c r="Q70" s="162"/>
    </row>
  </sheetData>
  <mergeCells count="16">
    <mergeCell ref="L70:M70"/>
    <mergeCell ref="A1:J1"/>
    <mergeCell ref="I2:I3"/>
    <mergeCell ref="J2:J3"/>
    <mergeCell ref="A28:H28"/>
    <mergeCell ref="A2:A3"/>
    <mergeCell ref="B2:B3"/>
    <mergeCell ref="C2:C3"/>
    <mergeCell ref="D2:D3"/>
    <mergeCell ref="E2:E3"/>
    <mergeCell ref="F2:H2"/>
    <mergeCell ref="G67:H67"/>
    <mergeCell ref="L67:M67"/>
    <mergeCell ref="G68:H68"/>
    <mergeCell ref="L68:M68"/>
    <mergeCell ref="L69:M69"/>
  </mergeCells>
  <printOptions horizontalCentered="1"/>
  <pageMargins left="0.51181102362204722" right="0.51181102362204722" top="0.74803149606299213" bottom="0.74803149606299213" header="0.31496062992125984" footer="0.31496062992125984"/>
  <pageSetup scale="72" fitToHeight="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F27C2-1D56-4F82-9154-DF21726D6D8D}">
  <sheetPr>
    <tabColor rgb="FF002060"/>
  </sheetPr>
  <dimension ref="A1:J16"/>
  <sheetViews>
    <sheetView workbookViewId="0">
      <pane xSplit="1" ySplit="3" topLeftCell="B4" activePane="bottomRight" state="frozen"/>
      <selection pane="topRight" activeCell="D9" sqref="D9"/>
      <selection pane="bottomLeft" activeCell="D9" sqref="D9"/>
      <selection pane="bottomRight" activeCell="D9" sqref="D9"/>
    </sheetView>
  </sheetViews>
  <sheetFormatPr defaultColWidth="9.36328125" defaultRowHeight="17" x14ac:dyDescent="0.7"/>
  <cols>
    <col min="1" max="1" width="6.6328125" style="90" customWidth="1"/>
    <col min="2" max="2" width="15.36328125" style="151" bestFit="1" customWidth="1"/>
    <col min="3" max="16384" width="9.36328125" style="151"/>
  </cols>
  <sheetData>
    <row r="1" spans="1:10" ht="17.5" thickBot="1" x14ac:dyDescent="0.75">
      <c r="A1" s="422" t="s">
        <v>443</v>
      </c>
      <c r="B1" s="423"/>
      <c r="C1" s="423"/>
      <c r="D1" s="423"/>
      <c r="E1" s="423"/>
      <c r="F1" s="423"/>
      <c r="G1" s="423"/>
      <c r="H1" s="423"/>
      <c r="I1" s="423"/>
      <c r="J1" s="424"/>
    </row>
    <row r="2" spans="1:10" x14ac:dyDescent="0.7">
      <c r="A2" s="377" t="s">
        <v>2</v>
      </c>
      <c r="B2" s="379" t="s">
        <v>158</v>
      </c>
      <c r="C2" s="379" t="s">
        <v>159</v>
      </c>
      <c r="D2" s="379" t="s">
        <v>160</v>
      </c>
      <c r="E2" s="379" t="s">
        <v>22</v>
      </c>
      <c r="F2" s="379" t="s">
        <v>161</v>
      </c>
      <c r="G2" s="379"/>
      <c r="H2" s="379"/>
      <c r="I2" s="373" t="s">
        <v>5</v>
      </c>
      <c r="J2" s="375" t="s">
        <v>8</v>
      </c>
    </row>
    <row r="3" spans="1:10" x14ac:dyDescent="0.7">
      <c r="A3" s="378"/>
      <c r="B3" s="380"/>
      <c r="C3" s="380"/>
      <c r="D3" s="380"/>
      <c r="E3" s="380"/>
      <c r="F3" s="324" t="s">
        <v>162</v>
      </c>
      <c r="G3" s="324" t="s">
        <v>163</v>
      </c>
      <c r="H3" s="324" t="s">
        <v>164</v>
      </c>
      <c r="I3" s="374"/>
      <c r="J3" s="376"/>
    </row>
    <row r="4" spans="1:10" x14ac:dyDescent="0.7">
      <c r="A4" s="418">
        <v>1</v>
      </c>
      <c r="B4" s="156" t="s">
        <v>186</v>
      </c>
      <c r="C4" s="79"/>
      <c r="D4" s="79"/>
      <c r="E4" s="79"/>
      <c r="F4" s="79"/>
      <c r="G4" s="79"/>
      <c r="H4" s="79"/>
      <c r="I4" s="79"/>
      <c r="J4" s="83"/>
    </row>
    <row r="5" spans="1:10" x14ac:dyDescent="0.7">
      <c r="A5" s="419"/>
      <c r="B5" s="133" t="s">
        <v>312</v>
      </c>
      <c r="C5" s="79" t="s">
        <v>12</v>
      </c>
      <c r="D5" s="79" t="s">
        <v>187</v>
      </c>
      <c r="E5" s="79">
        <v>1</v>
      </c>
      <c r="F5" s="79">
        <v>3.92</v>
      </c>
      <c r="G5" s="79"/>
      <c r="H5" s="79">
        <v>2.97</v>
      </c>
      <c r="I5" s="79">
        <f>PRODUCT(E5:H5)</f>
        <v>11.6424</v>
      </c>
      <c r="J5" s="83"/>
    </row>
    <row r="6" spans="1:10" x14ac:dyDescent="0.7">
      <c r="A6" s="418">
        <v>2</v>
      </c>
      <c r="B6" s="156" t="s">
        <v>188</v>
      </c>
      <c r="C6" s="79"/>
      <c r="D6" s="79"/>
      <c r="E6" s="79"/>
      <c r="F6" s="79"/>
      <c r="G6" s="79"/>
      <c r="H6" s="79"/>
      <c r="I6" s="79"/>
      <c r="J6" s="83"/>
    </row>
    <row r="7" spans="1:10" x14ac:dyDescent="0.7">
      <c r="A7" s="419"/>
      <c r="B7" s="133" t="s">
        <v>312</v>
      </c>
      <c r="C7" s="79" t="s">
        <v>12</v>
      </c>
      <c r="D7" s="79" t="s">
        <v>187</v>
      </c>
      <c r="E7" s="79">
        <v>1</v>
      </c>
      <c r="F7" s="79">
        <v>3.93</v>
      </c>
      <c r="G7" s="79"/>
      <c r="H7" s="79">
        <v>3.867</v>
      </c>
      <c r="I7" s="79">
        <f>PRODUCT(E7:H7)</f>
        <v>15.19731</v>
      </c>
      <c r="J7" s="83"/>
    </row>
    <row r="8" spans="1:10" x14ac:dyDescent="0.7">
      <c r="A8" s="418">
        <v>3</v>
      </c>
      <c r="B8" s="156" t="s">
        <v>189</v>
      </c>
      <c r="C8" s="79"/>
      <c r="D8" s="79"/>
      <c r="E8" s="79"/>
      <c r="F8" s="79"/>
      <c r="G8" s="79"/>
      <c r="H8" s="79"/>
      <c r="I8" s="79"/>
      <c r="J8" s="83"/>
    </row>
    <row r="9" spans="1:10" x14ac:dyDescent="0.7">
      <c r="A9" s="419"/>
      <c r="B9" s="133" t="s">
        <v>312</v>
      </c>
      <c r="C9" s="79" t="s">
        <v>12</v>
      </c>
      <c r="D9" s="79" t="s">
        <v>187</v>
      </c>
      <c r="E9" s="79">
        <v>1</v>
      </c>
      <c r="F9" s="79">
        <v>7.9</v>
      </c>
      <c r="G9" s="79"/>
      <c r="H9" s="79">
        <v>6.4</v>
      </c>
      <c r="I9" s="79">
        <f>PRODUCT(E9:H9)</f>
        <v>50.56</v>
      </c>
      <c r="J9" s="83"/>
    </row>
    <row r="10" spans="1:10" x14ac:dyDescent="0.7">
      <c r="A10" s="418">
        <v>4</v>
      </c>
      <c r="B10" s="156" t="s">
        <v>190</v>
      </c>
      <c r="C10" s="79"/>
      <c r="D10" s="79"/>
      <c r="E10" s="79"/>
      <c r="F10" s="79"/>
      <c r="G10" s="79"/>
      <c r="H10" s="79"/>
      <c r="I10" s="79"/>
      <c r="J10" s="83"/>
    </row>
    <row r="11" spans="1:10" x14ac:dyDescent="0.7">
      <c r="A11" s="419"/>
      <c r="B11" s="133" t="s">
        <v>312</v>
      </c>
      <c r="C11" s="79" t="s">
        <v>12</v>
      </c>
      <c r="D11" s="79" t="s">
        <v>187</v>
      </c>
      <c r="E11" s="79">
        <v>1</v>
      </c>
      <c r="F11" s="79">
        <v>3.87</v>
      </c>
      <c r="G11" s="79"/>
      <c r="H11" s="79">
        <v>3.76</v>
      </c>
      <c r="I11" s="79">
        <f>PRODUCT(E11:H11)</f>
        <v>14.5512</v>
      </c>
      <c r="J11" s="83"/>
    </row>
    <row r="12" spans="1:10" x14ac:dyDescent="0.7">
      <c r="A12" s="418">
        <v>5</v>
      </c>
      <c r="B12" s="156" t="s">
        <v>192</v>
      </c>
      <c r="C12" s="79"/>
      <c r="D12" s="79"/>
      <c r="E12" s="79"/>
      <c r="F12" s="79"/>
      <c r="G12" s="79"/>
      <c r="H12" s="79"/>
      <c r="I12" s="79"/>
      <c r="J12" s="83"/>
    </row>
    <row r="13" spans="1:10" x14ac:dyDescent="0.7">
      <c r="A13" s="419"/>
      <c r="B13" s="133" t="s">
        <v>312</v>
      </c>
      <c r="C13" s="79" t="s">
        <v>12</v>
      </c>
      <c r="D13" s="79" t="s">
        <v>187</v>
      </c>
      <c r="E13" s="79">
        <v>1</v>
      </c>
      <c r="F13" s="79">
        <v>3.77</v>
      </c>
      <c r="G13" s="79"/>
      <c r="H13" s="79">
        <v>3.88</v>
      </c>
      <c r="I13" s="79">
        <f>PRODUCT(E13:H13)</f>
        <v>14.627599999999999</v>
      </c>
      <c r="J13" s="83"/>
    </row>
    <row r="14" spans="1:10" x14ac:dyDescent="0.7">
      <c r="A14" s="418">
        <v>6</v>
      </c>
      <c r="B14" s="156" t="s">
        <v>193</v>
      </c>
      <c r="C14" s="79"/>
      <c r="D14" s="79"/>
      <c r="E14" s="79"/>
      <c r="F14" s="79"/>
      <c r="G14" s="79"/>
      <c r="H14" s="79"/>
      <c r="I14" s="79"/>
      <c r="J14" s="83"/>
    </row>
    <row r="15" spans="1:10" ht="17.5" thickBot="1" x14ac:dyDescent="0.75">
      <c r="A15" s="419"/>
      <c r="B15" s="133" t="s">
        <v>312</v>
      </c>
      <c r="C15" s="79" t="s">
        <v>12</v>
      </c>
      <c r="D15" s="79" t="s">
        <v>187</v>
      </c>
      <c r="E15" s="79">
        <v>1</v>
      </c>
      <c r="F15" s="79">
        <v>5.79</v>
      </c>
      <c r="G15" s="111"/>
      <c r="H15" s="111">
        <v>3.8</v>
      </c>
      <c r="I15" s="111">
        <f>PRODUCT(E15:H15)</f>
        <v>22.001999999999999</v>
      </c>
      <c r="J15" s="83"/>
    </row>
    <row r="16" spans="1:10" ht="17.5" thickBot="1" x14ac:dyDescent="0.75">
      <c r="A16" s="169"/>
      <c r="B16" s="170"/>
      <c r="C16" s="170"/>
      <c r="D16" s="170"/>
      <c r="E16" s="170"/>
      <c r="F16" s="170"/>
      <c r="G16" s="420" t="s">
        <v>211</v>
      </c>
      <c r="H16" s="421"/>
      <c r="I16" s="171">
        <f>SUM(I5:I15)</f>
        <v>128.58051</v>
      </c>
      <c r="J16" s="172"/>
    </row>
  </sheetData>
  <autoFilter ref="A2:J15" xr:uid="{904F6B95-62B4-4E69-A54D-432D1D4C957A}">
    <filterColumn colId="5" showButton="0"/>
    <filterColumn colId="6" showButton="0"/>
  </autoFilter>
  <mergeCells count="16">
    <mergeCell ref="F2:H2"/>
    <mergeCell ref="A12:A13"/>
    <mergeCell ref="A14:A15"/>
    <mergeCell ref="G16:H16"/>
    <mergeCell ref="A1:J1"/>
    <mergeCell ref="I2:I3"/>
    <mergeCell ref="J2:J3"/>
    <mergeCell ref="A4:A5"/>
    <mergeCell ref="A6:A7"/>
    <mergeCell ref="A8:A9"/>
    <mergeCell ref="A10:A11"/>
    <mergeCell ref="A2:A3"/>
    <mergeCell ref="B2:B3"/>
    <mergeCell ref="C2:C3"/>
    <mergeCell ref="D2:D3"/>
    <mergeCell ref="E2:E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5AC2B-16D6-44FF-B207-36A5BCE919AD}">
  <sheetPr>
    <tabColor rgb="FF002060"/>
  </sheetPr>
  <dimension ref="A1:V6"/>
  <sheetViews>
    <sheetView view="pageBreakPreview" topLeftCell="B1" zoomScale="60" zoomScaleNormal="79" workbookViewId="0">
      <pane ySplit="3" topLeftCell="A32" activePane="bottomLeft" state="frozen"/>
      <selection activeCell="D9" sqref="D9"/>
      <selection pane="bottomLeft" activeCell="U10" sqref="U10"/>
    </sheetView>
  </sheetViews>
  <sheetFormatPr defaultColWidth="8.6328125" defaultRowHeight="17" x14ac:dyDescent="0.7"/>
  <cols>
    <col min="1" max="1" width="5.36328125" style="90" bestFit="1" customWidth="1"/>
    <col min="2" max="2" width="41.36328125" style="76" bestFit="1" customWidth="1"/>
    <col min="3" max="3" width="9.36328125" style="151" customWidth="1"/>
    <col min="4" max="5" width="8.6328125" style="76"/>
    <col min="6" max="8" width="12.36328125" style="76" customWidth="1"/>
    <col min="9" max="9" width="12.54296875" style="76" customWidth="1"/>
    <col min="10" max="10" width="24.36328125" style="76" customWidth="1"/>
    <col min="11" max="13" width="8.6328125" style="76"/>
    <col min="14" max="14" width="13.36328125" style="76" bestFit="1" customWidth="1"/>
    <col min="15" max="15" width="8.6328125" style="76"/>
    <col min="16" max="16" width="13.6328125" style="76" customWidth="1"/>
    <col min="17" max="17" width="14.6328125" style="76" customWidth="1"/>
    <col min="18" max="18" width="11" style="76" customWidth="1"/>
    <col min="19" max="19" width="8.6328125" style="76"/>
    <col min="20" max="20" width="16.453125" style="76" customWidth="1"/>
    <col min="21" max="21" width="15.36328125" style="76" customWidth="1"/>
    <col min="22" max="22" width="11.54296875" style="76" customWidth="1"/>
    <col min="23" max="16384" width="8.6328125" style="76"/>
  </cols>
  <sheetData>
    <row r="1" spans="1:22" x14ac:dyDescent="0.7">
      <c r="A1" s="384" t="s">
        <v>444</v>
      </c>
      <c r="B1" s="385"/>
      <c r="C1" s="385"/>
      <c r="D1" s="385"/>
      <c r="E1" s="385"/>
      <c r="F1" s="385"/>
      <c r="G1" s="385"/>
      <c r="H1" s="385"/>
      <c r="I1" s="385"/>
      <c r="J1" s="386"/>
      <c r="M1" s="426" t="s">
        <v>445</v>
      </c>
      <c r="N1" s="426"/>
      <c r="O1" s="426"/>
      <c r="P1" s="426"/>
      <c r="Q1" s="426"/>
      <c r="R1" s="426"/>
      <c r="S1" s="426"/>
      <c r="T1" s="426"/>
      <c r="U1" s="426"/>
      <c r="V1" s="426"/>
    </row>
    <row r="2" spans="1:22" s="77" customFormat="1" x14ac:dyDescent="0.35">
      <c r="A2" s="378" t="s">
        <v>2</v>
      </c>
      <c r="B2" s="380" t="s">
        <v>158</v>
      </c>
      <c r="C2" s="380" t="s">
        <v>159</v>
      </c>
      <c r="D2" s="380" t="s">
        <v>160</v>
      </c>
      <c r="E2" s="380" t="s">
        <v>22</v>
      </c>
      <c r="F2" s="380" t="s">
        <v>161</v>
      </c>
      <c r="G2" s="380"/>
      <c r="H2" s="380"/>
      <c r="I2" s="374" t="s">
        <v>5</v>
      </c>
      <c r="J2" s="376" t="s">
        <v>8</v>
      </c>
      <c r="M2" s="324" t="s">
        <v>446</v>
      </c>
      <c r="N2" s="323" t="s">
        <v>447</v>
      </c>
      <c r="O2" s="323" t="s">
        <v>448</v>
      </c>
      <c r="P2" s="323" t="s">
        <v>449</v>
      </c>
      <c r="Q2" s="323" t="s">
        <v>450</v>
      </c>
      <c r="R2" s="323" t="s">
        <v>451</v>
      </c>
      <c r="S2" s="323" t="s">
        <v>22</v>
      </c>
      <c r="T2" s="324" t="s">
        <v>452</v>
      </c>
      <c r="U2" s="324" t="s">
        <v>453</v>
      </c>
      <c r="V2" s="324" t="s">
        <v>454</v>
      </c>
    </row>
    <row r="3" spans="1:22" s="77" customFormat="1" ht="106.5" customHeight="1" x14ac:dyDescent="0.35">
      <c r="A3" s="378"/>
      <c r="B3" s="380"/>
      <c r="C3" s="380"/>
      <c r="D3" s="380"/>
      <c r="E3" s="380"/>
      <c r="F3" s="324" t="s">
        <v>162</v>
      </c>
      <c r="G3" s="324" t="s">
        <v>163</v>
      </c>
      <c r="H3" s="324" t="s">
        <v>164</v>
      </c>
      <c r="I3" s="374"/>
      <c r="J3" s="376"/>
      <c r="M3" s="324">
        <v>1</v>
      </c>
      <c r="N3" s="79" t="s">
        <v>455</v>
      </c>
      <c r="O3" s="79">
        <v>10</v>
      </c>
      <c r="P3" s="79">
        <v>0.61719999999999997</v>
      </c>
      <c r="Q3" s="79"/>
      <c r="R3" s="79">
        <v>175</v>
      </c>
      <c r="S3" s="79">
        <v>7</v>
      </c>
      <c r="T3" s="79">
        <v>2.4020000000000001</v>
      </c>
      <c r="U3" s="79">
        <f>T3*S3</f>
        <v>16.814</v>
      </c>
      <c r="V3" s="79">
        <f>U3*P3</f>
        <v>10.3776008</v>
      </c>
    </row>
    <row r="4" spans="1:22" ht="48" customHeight="1" x14ac:dyDescent="0.7">
      <c r="A4" s="338">
        <v>1</v>
      </c>
      <c r="B4" s="62" t="s">
        <v>456</v>
      </c>
      <c r="C4" s="79" t="s">
        <v>46</v>
      </c>
      <c r="D4" s="162"/>
      <c r="E4" s="110">
        <v>100</v>
      </c>
      <c r="F4" s="162">
        <v>1.2</v>
      </c>
      <c r="G4" s="162">
        <f>(0.5+0.225)/2</f>
        <v>0.36249999999999999</v>
      </c>
      <c r="H4" s="79">
        <v>1</v>
      </c>
      <c r="I4" s="163">
        <f>E4*F4*G4*H4</f>
        <v>43.5</v>
      </c>
      <c r="J4" s="80"/>
      <c r="M4" s="133">
        <v>2</v>
      </c>
      <c r="N4" s="79" t="s">
        <v>457</v>
      </c>
      <c r="O4" s="79">
        <v>8</v>
      </c>
      <c r="P4" s="79">
        <v>0.39500000000000002</v>
      </c>
      <c r="Q4" s="133"/>
      <c r="R4" s="133" t="s">
        <v>458</v>
      </c>
      <c r="S4" s="79">
        <v>15</v>
      </c>
      <c r="T4" s="79">
        <v>1.1499999999999999</v>
      </c>
      <c r="U4" s="79">
        <f>T4*S4</f>
        <v>17.25</v>
      </c>
      <c r="V4" s="79">
        <f>U4*P4</f>
        <v>6.8137500000000006</v>
      </c>
    </row>
    <row r="5" spans="1:22" ht="66.75" customHeight="1" thickBot="1" x14ac:dyDescent="0.75">
      <c r="A5" s="164">
        <v>2</v>
      </c>
      <c r="B5" s="165" t="s">
        <v>459</v>
      </c>
      <c r="C5" s="165" t="s">
        <v>56</v>
      </c>
      <c r="D5" s="165"/>
      <c r="E5" s="165">
        <v>100</v>
      </c>
      <c r="F5" s="165"/>
      <c r="G5" s="165"/>
      <c r="H5" s="165"/>
      <c r="I5" s="166">
        <f>E5*V6</f>
        <v>2034.5030800000004</v>
      </c>
      <c r="J5" s="167"/>
      <c r="M5" s="133">
        <v>3</v>
      </c>
      <c r="N5" s="79" t="s">
        <v>460</v>
      </c>
      <c r="O5" s="79">
        <v>16</v>
      </c>
      <c r="P5" s="79">
        <v>1.58</v>
      </c>
      <c r="Q5" s="133"/>
      <c r="R5" s="133" t="s">
        <v>458</v>
      </c>
      <c r="S5" s="79">
        <v>2</v>
      </c>
      <c r="T5" s="111">
        <v>0.998</v>
      </c>
      <c r="U5" s="111">
        <f>T5*S5</f>
        <v>1.996</v>
      </c>
      <c r="V5" s="111">
        <f>U5*P5</f>
        <v>3.15368</v>
      </c>
    </row>
    <row r="6" spans="1:22" ht="17.5" thickBot="1" x14ac:dyDescent="0.75">
      <c r="M6" s="151"/>
      <c r="N6" s="151"/>
      <c r="O6" s="151"/>
      <c r="P6" s="151"/>
      <c r="Q6" s="151"/>
      <c r="R6" s="151"/>
      <c r="S6" s="151"/>
      <c r="T6" s="420" t="s">
        <v>461</v>
      </c>
      <c r="U6" s="425"/>
      <c r="V6" s="168">
        <f>SUM(V3:V5)</f>
        <v>20.345030800000004</v>
      </c>
    </row>
  </sheetData>
  <mergeCells count="11">
    <mergeCell ref="I2:I3"/>
    <mergeCell ref="J2:J3"/>
    <mergeCell ref="T6:U6"/>
    <mergeCell ref="M1:V1"/>
    <mergeCell ref="A2:A3"/>
    <mergeCell ref="B2:B3"/>
    <mergeCell ref="C2:C3"/>
    <mergeCell ref="D2:D3"/>
    <mergeCell ref="E2:E3"/>
    <mergeCell ref="F2:H2"/>
    <mergeCell ref="A1:J1"/>
  </mergeCells>
  <pageMargins left="0.7" right="0.7" top="0.75" bottom="0.75" header="0.3" footer="0.3"/>
  <pageSetup scale="58" orientation="portrait" r:id="rId1"/>
  <colBreaks count="1" manualBreakCount="1">
    <brk id="11"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5E82-D9B7-4FC6-934D-7C938EA119E4}">
  <sheetPr>
    <tabColor rgb="FF002060"/>
  </sheetPr>
  <dimension ref="A1:J7"/>
  <sheetViews>
    <sheetView view="pageBreakPreview" zoomScaleNormal="100" zoomScaleSheetLayoutView="100" workbookViewId="0">
      <pane ySplit="3" topLeftCell="A4" activePane="bottomLeft" state="frozen"/>
      <selection activeCell="D9" sqref="D9"/>
      <selection pane="bottomLeft" activeCell="G6" sqref="G6"/>
    </sheetView>
  </sheetViews>
  <sheetFormatPr defaultColWidth="8.6328125" defaultRowHeight="17" x14ac:dyDescent="0.35"/>
  <cols>
    <col min="1" max="1" width="5.36328125" style="279" bestFit="1" customWidth="1"/>
    <col min="2" max="2" width="33.90625" style="198" customWidth="1"/>
    <col min="3" max="5" width="8.6328125" style="198"/>
    <col min="6" max="6" width="12.36328125" style="198" customWidth="1"/>
    <col min="7" max="7" width="7.54296875" style="198" bestFit="1" customWidth="1"/>
    <col min="8" max="8" width="6.36328125" style="198" bestFit="1" customWidth="1"/>
    <col min="9" max="9" width="8.6328125" style="198"/>
    <col min="10" max="10" width="8.6328125" style="198" bestFit="1" customWidth="1"/>
    <col min="11" max="16384" width="8.6328125" style="198"/>
  </cols>
  <sheetData>
    <row r="1" spans="1:10" x14ac:dyDescent="0.35">
      <c r="A1" s="427" t="s">
        <v>462</v>
      </c>
      <c r="B1" s="428"/>
      <c r="C1" s="428"/>
      <c r="D1" s="428"/>
      <c r="E1" s="428"/>
      <c r="F1" s="428"/>
      <c r="G1" s="428"/>
      <c r="H1" s="428"/>
      <c r="I1" s="428"/>
      <c r="J1" s="429"/>
    </row>
    <row r="2" spans="1:10" s="275" customFormat="1" x14ac:dyDescent="0.35">
      <c r="A2" s="435" t="s">
        <v>2</v>
      </c>
      <c r="B2" s="436" t="s">
        <v>158</v>
      </c>
      <c r="C2" s="436" t="s">
        <v>159</v>
      </c>
      <c r="D2" s="436" t="s">
        <v>160</v>
      </c>
      <c r="E2" s="436" t="s">
        <v>22</v>
      </c>
      <c r="F2" s="436" t="s">
        <v>161</v>
      </c>
      <c r="G2" s="436"/>
      <c r="H2" s="436"/>
      <c r="I2" s="430" t="s">
        <v>5</v>
      </c>
      <c r="J2" s="431" t="s">
        <v>8</v>
      </c>
    </row>
    <row r="3" spans="1:10" s="275" customFormat="1" x14ac:dyDescent="0.35">
      <c r="A3" s="435"/>
      <c r="B3" s="436"/>
      <c r="C3" s="436"/>
      <c r="D3" s="436"/>
      <c r="E3" s="436"/>
      <c r="F3" s="333" t="s">
        <v>162</v>
      </c>
      <c r="G3" s="333" t="s">
        <v>163</v>
      </c>
      <c r="H3" s="333" t="s">
        <v>164</v>
      </c>
      <c r="I3" s="430"/>
      <c r="J3" s="431"/>
    </row>
    <row r="4" spans="1:10" ht="57" customHeight="1" x14ac:dyDescent="0.35">
      <c r="A4" s="194">
        <v>1</v>
      </c>
      <c r="B4" s="54" t="s">
        <v>463</v>
      </c>
      <c r="C4" s="196" t="s">
        <v>92</v>
      </c>
      <c r="D4" s="196" t="s">
        <v>222</v>
      </c>
      <c r="E4" s="196">
        <v>1</v>
      </c>
      <c r="F4" s="276">
        <v>150</v>
      </c>
      <c r="G4" s="196"/>
      <c r="H4" s="196"/>
      <c r="I4" s="276">
        <f>PRODUCT(E4:H4)</f>
        <v>150</v>
      </c>
      <c r="J4" s="197"/>
    </row>
    <row r="5" spans="1:10" ht="57" customHeight="1" x14ac:dyDescent="0.35">
      <c r="A5" s="194">
        <f>A4+1</f>
        <v>2</v>
      </c>
      <c r="B5" s="54" t="s">
        <v>464</v>
      </c>
      <c r="C5" s="196" t="s">
        <v>92</v>
      </c>
      <c r="D5" s="196" t="s">
        <v>222</v>
      </c>
      <c r="E5" s="196">
        <v>1</v>
      </c>
      <c r="F5" s="276">
        <v>50</v>
      </c>
      <c r="G5" s="196"/>
      <c r="H5" s="196"/>
      <c r="I5" s="276">
        <f>PRODUCT(E5:H5)</f>
        <v>50</v>
      </c>
      <c r="J5" s="197"/>
    </row>
    <row r="6" spans="1:10" ht="57" customHeight="1" x14ac:dyDescent="0.35">
      <c r="A6" s="194">
        <v>3</v>
      </c>
      <c r="B6" s="54" t="s">
        <v>465</v>
      </c>
      <c r="C6" s="196" t="s">
        <v>92</v>
      </c>
      <c r="D6" s="196" t="s">
        <v>222</v>
      </c>
      <c r="E6" s="196">
        <v>1</v>
      </c>
      <c r="F6" s="276">
        <v>140</v>
      </c>
      <c r="G6" s="196"/>
      <c r="H6" s="196"/>
      <c r="I6" s="276">
        <f>PRODUCT(E6:H6)</f>
        <v>140</v>
      </c>
      <c r="J6" s="197"/>
    </row>
    <row r="7" spans="1:10" ht="17.5" thickBot="1" x14ac:dyDescent="0.4">
      <c r="A7" s="432"/>
      <c r="B7" s="433"/>
      <c r="C7" s="433"/>
      <c r="D7" s="433"/>
      <c r="E7" s="433"/>
      <c r="F7" s="433"/>
      <c r="G7" s="433"/>
      <c r="H7" s="434"/>
      <c r="I7" s="277"/>
      <c r="J7" s="278"/>
    </row>
  </sheetData>
  <mergeCells count="10">
    <mergeCell ref="A1:J1"/>
    <mergeCell ref="I2:I3"/>
    <mergeCell ref="J2:J3"/>
    <mergeCell ref="A7:H7"/>
    <mergeCell ref="A2:A3"/>
    <mergeCell ref="B2:B3"/>
    <mergeCell ref="C2:C3"/>
    <mergeCell ref="D2:D3"/>
    <mergeCell ref="E2:E3"/>
    <mergeCell ref="F2:H2"/>
  </mergeCells>
  <pageMargins left="0.7" right="0.7" top="0.75" bottom="0.75" header="0.3" footer="0.3"/>
  <pageSetup paperSize="9" scale="7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EBE1F-477F-4993-920E-4D9A9D5CAB4D}">
  <sheetPr>
    <tabColor rgb="FF002060"/>
  </sheetPr>
  <dimension ref="A1:J19"/>
  <sheetViews>
    <sheetView view="pageBreakPreview" zoomScale="85" zoomScaleNormal="85" zoomScaleSheetLayoutView="85" workbookViewId="0">
      <pane ySplit="3" topLeftCell="A12" activePane="bottomLeft" state="frozen"/>
      <selection activeCell="D9" sqref="D9"/>
      <selection pane="bottomLeft" activeCell="B17" sqref="B17"/>
    </sheetView>
  </sheetViews>
  <sheetFormatPr defaultColWidth="8.6328125" defaultRowHeight="17" x14ac:dyDescent="0.7"/>
  <cols>
    <col min="1" max="1" width="5.36328125" style="76" bestFit="1" customWidth="1"/>
    <col min="2" max="2" width="62.36328125" style="281" customWidth="1"/>
    <col min="3" max="3" width="9.36328125" style="90" customWidth="1"/>
    <col min="4" max="4" width="9.36328125" style="151" customWidth="1"/>
    <col min="5" max="5" width="8.6328125" style="76"/>
    <col min="6" max="8" width="12.36328125" style="76" customWidth="1"/>
    <col min="9" max="9" width="8.6328125" style="76"/>
    <col min="10" max="10" width="17.90625" style="210" customWidth="1"/>
    <col min="11" max="16384" width="8.6328125" style="76"/>
  </cols>
  <sheetData>
    <row r="1" spans="1:10" x14ac:dyDescent="0.7">
      <c r="A1" s="415" t="s">
        <v>466</v>
      </c>
      <c r="B1" s="416"/>
      <c r="C1" s="416"/>
      <c r="D1" s="416"/>
      <c r="E1" s="416"/>
      <c r="F1" s="416"/>
      <c r="G1" s="416"/>
      <c r="H1" s="416"/>
      <c r="I1" s="416"/>
      <c r="J1" s="417"/>
    </row>
    <row r="2" spans="1:10" s="77" customFormat="1" x14ac:dyDescent="0.35">
      <c r="A2" s="378" t="s">
        <v>2</v>
      </c>
      <c r="B2" s="440" t="s">
        <v>158</v>
      </c>
      <c r="C2" s="380" t="s">
        <v>159</v>
      </c>
      <c r="D2" s="380" t="s">
        <v>160</v>
      </c>
      <c r="E2" s="380" t="s">
        <v>22</v>
      </c>
      <c r="F2" s="380" t="s">
        <v>161</v>
      </c>
      <c r="G2" s="380"/>
      <c r="H2" s="380"/>
      <c r="I2" s="374" t="s">
        <v>5</v>
      </c>
      <c r="J2" s="414" t="s">
        <v>8</v>
      </c>
    </row>
    <row r="3" spans="1:10" s="77" customFormat="1" x14ac:dyDescent="0.35">
      <c r="A3" s="378"/>
      <c r="B3" s="440"/>
      <c r="C3" s="380"/>
      <c r="D3" s="380"/>
      <c r="E3" s="380"/>
      <c r="F3" s="324" t="s">
        <v>162</v>
      </c>
      <c r="G3" s="324" t="s">
        <v>163</v>
      </c>
      <c r="H3" s="324" t="s">
        <v>164</v>
      </c>
      <c r="I3" s="374"/>
      <c r="J3" s="414"/>
    </row>
    <row r="4" spans="1:10" s="77" customFormat="1" x14ac:dyDescent="0.35">
      <c r="A4" s="322">
        <v>1</v>
      </c>
      <c r="B4" s="176" t="s">
        <v>467</v>
      </c>
      <c r="C4" s="324"/>
      <c r="D4" s="324"/>
      <c r="E4" s="324"/>
      <c r="F4" s="324"/>
      <c r="G4" s="324"/>
      <c r="H4" s="324"/>
      <c r="I4" s="320"/>
      <c r="J4" s="329"/>
    </row>
    <row r="5" spans="1:10" ht="20.25" customHeight="1" x14ac:dyDescent="0.7">
      <c r="A5" s="84" t="s">
        <v>99</v>
      </c>
      <c r="B5" s="158" t="s">
        <v>468</v>
      </c>
      <c r="C5" s="79" t="s">
        <v>469</v>
      </c>
      <c r="D5" s="133" t="s">
        <v>222</v>
      </c>
      <c r="E5" s="79">
        <f>3*2</f>
        <v>6</v>
      </c>
      <c r="F5" s="153">
        <v>1.2</v>
      </c>
      <c r="G5" s="153">
        <v>1.2</v>
      </c>
      <c r="H5" s="153">
        <v>1</v>
      </c>
      <c r="I5" s="153">
        <f>E5*F5*G5*H5</f>
        <v>8.6399999999999988</v>
      </c>
      <c r="J5" s="191"/>
    </row>
    <row r="6" spans="1:10" ht="20.25" customHeight="1" x14ac:dyDescent="0.7">
      <c r="A6" s="84"/>
      <c r="B6" s="158"/>
      <c r="C6" s="437"/>
      <c r="D6" s="438"/>
      <c r="E6" s="438"/>
      <c r="F6" s="438"/>
      <c r="G6" s="438"/>
      <c r="H6" s="439"/>
      <c r="I6" s="154">
        <f>I5</f>
        <v>8.6399999999999988</v>
      </c>
      <c r="J6" s="191"/>
    </row>
    <row r="7" spans="1:10" x14ac:dyDescent="0.7">
      <c r="A7" s="84" t="s">
        <v>101</v>
      </c>
      <c r="B7" s="158" t="s">
        <v>470</v>
      </c>
      <c r="C7" s="79" t="s">
        <v>469</v>
      </c>
      <c r="D7" s="133" t="s">
        <v>222</v>
      </c>
      <c r="E7" s="79">
        <f>3*2</f>
        <v>6</v>
      </c>
      <c r="F7" s="153">
        <v>1</v>
      </c>
      <c r="G7" s="153">
        <v>1</v>
      </c>
      <c r="H7" s="133">
        <v>0.1</v>
      </c>
      <c r="I7" s="133">
        <f>E7*F7*G7*H7</f>
        <v>0.60000000000000009</v>
      </c>
      <c r="J7" s="191"/>
    </row>
    <row r="8" spans="1:10" x14ac:dyDescent="0.7">
      <c r="A8" s="84"/>
      <c r="B8" s="158"/>
      <c r="C8" s="437"/>
      <c r="D8" s="438"/>
      <c r="E8" s="438"/>
      <c r="F8" s="438"/>
      <c r="G8" s="438"/>
      <c r="H8" s="439"/>
      <c r="I8" s="154">
        <f>I7</f>
        <v>0.60000000000000009</v>
      </c>
      <c r="J8" s="191"/>
    </row>
    <row r="9" spans="1:10" x14ac:dyDescent="0.7">
      <c r="A9" s="84" t="s">
        <v>103</v>
      </c>
      <c r="B9" s="158" t="s">
        <v>471</v>
      </c>
      <c r="C9" s="79" t="s">
        <v>469</v>
      </c>
      <c r="D9" s="133" t="s">
        <v>222</v>
      </c>
      <c r="E9" s="79">
        <f>3*2</f>
        <v>6</v>
      </c>
      <c r="F9" s="133">
        <v>0.6</v>
      </c>
      <c r="G9" s="133">
        <v>0.6</v>
      </c>
      <c r="H9" s="133">
        <v>0.9</v>
      </c>
      <c r="I9" s="133">
        <f>E9*F9*G9*H9</f>
        <v>1.9439999999999997</v>
      </c>
      <c r="J9" s="191"/>
    </row>
    <row r="10" spans="1:10" x14ac:dyDescent="0.7">
      <c r="A10" s="84" t="s">
        <v>105</v>
      </c>
      <c r="B10" s="158" t="s">
        <v>472</v>
      </c>
      <c r="C10" s="79" t="s">
        <v>469</v>
      </c>
      <c r="D10" s="133" t="s">
        <v>222</v>
      </c>
      <c r="E10" s="79">
        <f>3*2</f>
        <v>6</v>
      </c>
      <c r="F10" s="133">
        <v>0.6</v>
      </c>
      <c r="G10" s="133">
        <v>0.6</v>
      </c>
      <c r="H10" s="133">
        <v>3</v>
      </c>
      <c r="I10" s="133">
        <f>F10*G10*H10*E10</f>
        <v>6.48</v>
      </c>
      <c r="J10" s="191"/>
    </row>
    <row r="11" spans="1:10" x14ac:dyDescent="0.7">
      <c r="A11" s="84"/>
      <c r="B11" s="158"/>
      <c r="C11" s="437"/>
      <c r="D11" s="438"/>
      <c r="E11" s="438"/>
      <c r="F11" s="438"/>
      <c r="G11" s="438"/>
      <c r="H11" s="439"/>
      <c r="I11" s="155">
        <f>SUM(I9:I10)</f>
        <v>8.4239999999999995</v>
      </c>
      <c r="J11" s="191"/>
    </row>
    <row r="12" spans="1:10" ht="34" x14ac:dyDescent="0.7">
      <c r="A12" s="84" t="s">
        <v>107</v>
      </c>
      <c r="B12" s="158" t="s">
        <v>459</v>
      </c>
      <c r="C12" s="79" t="s">
        <v>473</v>
      </c>
      <c r="D12" s="133" t="s">
        <v>222</v>
      </c>
      <c r="E12" s="79"/>
      <c r="F12" s="81"/>
      <c r="G12" s="81"/>
      <c r="H12" s="81"/>
      <c r="I12" s="133">
        <f>I10*2%*7850</f>
        <v>1017.3600000000001</v>
      </c>
      <c r="J12" s="282" t="s">
        <v>474</v>
      </c>
    </row>
    <row r="13" spans="1:10" x14ac:dyDescent="0.7">
      <c r="A13" s="84"/>
      <c r="B13" s="158"/>
      <c r="C13" s="79"/>
      <c r="D13" s="133"/>
      <c r="E13" s="79"/>
      <c r="F13" s="81"/>
      <c r="G13" s="81"/>
      <c r="H13" s="81"/>
      <c r="I13" s="156">
        <f>I12</f>
        <v>1017.3600000000001</v>
      </c>
      <c r="J13" s="115"/>
    </row>
    <row r="14" spans="1:10" x14ac:dyDescent="0.7">
      <c r="A14" s="108" t="s">
        <v>109</v>
      </c>
      <c r="B14" s="280" t="s">
        <v>475</v>
      </c>
      <c r="C14" s="79"/>
      <c r="D14" s="133"/>
      <c r="E14" s="79"/>
      <c r="F14" s="81"/>
      <c r="G14" s="81"/>
      <c r="H14" s="81"/>
      <c r="I14" s="81"/>
      <c r="J14" s="191"/>
    </row>
    <row r="15" spans="1:10" ht="18" customHeight="1" x14ac:dyDescent="0.7">
      <c r="A15" s="338" t="s">
        <v>245</v>
      </c>
      <c r="B15" s="158" t="s">
        <v>476</v>
      </c>
      <c r="C15" s="79" t="s">
        <v>473</v>
      </c>
      <c r="D15" s="79" t="s">
        <v>222</v>
      </c>
      <c r="E15" s="79">
        <v>1</v>
      </c>
      <c r="F15" s="81"/>
      <c r="G15" s="79">
        <v>6.5</v>
      </c>
      <c r="H15" s="79">
        <v>2.8</v>
      </c>
      <c r="I15" s="79">
        <f>G15*H15*85</f>
        <v>1547</v>
      </c>
      <c r="J15" s="282" t="s">
        <v>477</v>
      </c>
    </row>
    <row r="16" spans="1:10" ht="36" customHeight="1" x14ac:dyDescent="0.7">
      <c r="A16" s="338" t="s">
        <v>248</v>
      </c>
      <c r="B16" s="327" t="s">
        <v>478</v>
      </c>
      <c r="C16" s="79" t="s">
        <v>473</v>
      </c>
      <c r="D16" s="79" t="s">
        <v>222</v>
      </c>
      <c r="E16" s="79">
        <v>1</v>
      </c>
      <c r="F16" s="81"/>
      <c r="G16" s="79">
        <v>7.5</v>
      </c>
      <c r="H16" s="79">
        <v>2.8</v>
      </c>
      <c r="I16" s="79">
        <f>G16*H16*85</f>
        <v>1785</v>
      </c>
      <c r="J16" s="191"/>
    </row>
    <row r="17" spans="1:10" ht="34.25" customHeight="1" x14ac:dyDescent="0.7">
      <c r="A17" s="338" t="s">
        <v>479</v>
      </c>
      <c r="B17" s="327" t="s">
        <v>480</v>
      </c>
      <c r="C17" s="79" t="s">
        <v>473</v>
      </c>
      <c r="D17" s="79" t="s">
        <v>222</v>
      </c>
      <c r="E17" s="79">
        <v>1</v>
      </c>
      <c r="F17" s="81"/>
      <c r="G17" s="79">
        <v>5.5</v>
      </c>
      <c r="H17" s="79">
        <v>2.8</v>
      </c>
      <c r="I17" s="79">
        <f>G17*H17*85</f>
        <v>1308.9999999999998</v>
      </c>
      <c r="J17" s="191"/>
    </row>
    <row r="18" spans="1:10" x14ac:dyDescent="0.7">
      <c r="A18" s="84" t="s">
        <v>481</v>
      </c>
      <c r="B18" s="158" t="s">
        <v>482</v>
      </c>
      <c r="C18" s="79" t="s">
        <v>473</v>
      </c>
      <c r="D18" s="133"/>
      <c r="E18" s="79">
        <v>1</v>
      </c>
      <c r="F18" s="81"/>
      <c r="G18" s="79">
        <v>4.5</v>
      </c>
      <c r="H18" s="79">
        <v>2.8</v>
      </c>
      <c r="I18" s="79">
        <f>G18*H18*85</f>
        <v>1071</v>
      </c>
      <c r="J18" s="191"/>
    </row>
    <row r="19" spans="1:10" ht="17.5" thickBot="1" x14ac:dyDescent="0.75">
      <c r="A19" s="283"/>
      <c r="B19" s="284"/>
      <c r="C19" s="165"/>
      <c r="D19" s="189"/>
      <c r="E19" s="188"/>
      <c r="F19" s="188"/>
      <c r="G19" s="387" t="s">
        <v>483</v>
      </c>
      <c r="H19" s="388"/>
      <c r="I19" s="285">
        <f>SUM(I15:I18)</f>
        <v>5712</v>
      </c>
      <c r="J19" s="286"/>
    </row>
  </sheetData>
  <mergeCells count="13">
    <mergeCell ref="A1:J1"/>
    <mergeCell ref="I2:I3"/>
    <mergeCell ref="J2:J3"/>
    <mergeCell ref="G19:H19"/>
    <mergeCell ref="C11:H11"/>
    <mergeCell ref="C8:H8"/>
    <mergeCell ref="C6:H6"/>
    <mergeCell ref="A2:A3"/>
    <mergeCell ref="B2:B3"/>
    <mergeCell ref="C2:C3"/>
    <mergeCell ref="D2:D3"/>
    <mergeCell ref="E2:E3"/>
    <mergeCell ref="F2:H2"/>
  </mergeCells>
  <pageMargins left="0.7" right="0.7" top="0.75" bottom="0.75" header="0.3" footer="0.3"/>
  <pageSetup paperSize="9" scale="5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FC22D-3CD3-453F-83F5-EDABFE6C20FD}">
  <sheetPr>
    <tabColor rgb="FF002060"/>
  </sheetPr>
  <dimension ref="A1:U37"/>
  <sheetViews>
    <sheetView view="pageBreakPreview" zoomScale="85" zoomScaleNormal="85" zoomScaleSheetLayoutView="85" workbookViewId="0">
      <pane xSplit="1" ySplit="3" topLeftCell="B27" activePane="bottomRight" state="frozen"/>
      <selection pane="topRight" activeCell="D9" sqref="D9"/>
      <selection pane="bottomLeft" activeCell="D9" sqref="D9"/>
      <selection pane="bottomRight" activeCell="G6" sqref="G6"/>
    </sheetView>
  </sheetViews>
  <sheetFormatPr defaultColWidth="8.6328125" defaultRowHeight="17" x14ac:dyDescent="0.7"/>
  <cols>
    <col min="1" max="1" width="5.36328125" style="151" bestFit="1" customWidth="1"/>
    <col min="2" max="2" width="40.36328125" style="76" customWidth="1"/>
    <col min="3" max="4" width="9.36328125" style="90" customWidth="1"/>
    <col min="5" max="5" width="6.453125" style="90" customWidth="1"/>
    <col min="6" max="6" width="12.36328125" style="90" customWidth="1"/>
    <col min="7" max="7" width="10.6328125" style="90" customWidth="1"/>
    <col min="8" max="8" width="12.36328125" style="90" customWidth="1"/>
    <col min="9" max="9" width="11.54296875" style="90" customWidth="1"/>
    <col min="10" max="10" width="13.36328125" style="76" customWidth="1"/>
    <col min="11" max="16384" width="8.6328125" style="76"/>
  </cols>
  <sheetData>
    <row r="1" spans="1:10" x14ac:dyDescent="0.7">
      <c r="A1" s="401" t="s">
        <v>484</v>
      </c>
      <c r="B1" s="391"/>
      <c r="C1" s="391"/>
      <c r="D1" s="391"/>
      <c r="E1" s="391"/>
      <c r="F1" s="391"/>
      <c r="G1" s="391"/>
      <c r="H1" s="391"/>
      <c r="I1" s="391"/>
      <c r="J1" s="392"/>
    </row>
    <row r="2" spans="1:10" s="77" customFormat="1" x14ac:dyDescent="0.35">
      <c r="A2" s="378" t="s">
        <v>2</v>
      </c>
      <c r="B2" s="380" t="s">
        <v>158</v>
      </c>
      <c r="C2" s="380" t="s">
        <v>159</v>
      </c>
      <c r="D2" s="380" t="s">
        <v>160</v>
      </c>
      <c r="E2" s="380" t="s">
        <v>22</v>
      </c>
      <c r="F2" s="380" t="s">
        <v>161</v>
      </c>
      <c r="G2" s="380"/>
      <c r="H2" s="380"/>
      <c r="I2" s="374" t="s">
        <v>5</v>
      </c>
      <c r="J2" s="376" t="s">
        <v>8</v>
      </c>
    </row>
    <row r="3" spans="1:10" s="77" customFormat="1" x14ac:dyDescent="0.35">
      <c r="A3" s="378"/>
      <c r="B3" s="380"/>
      <c r="C3" s="380"/>
      <c r="D3" s="380"/>
      <c r="E3" s="380"/>
      <c r="F3" s="324" t="s">
        <v>162</v>
      </c>
      <c r="G3" s="324" t="s">
        <v>163</v>
      </c>
      <c r="H3" s="324" t="s">
        <v>164</v>
      </c>
      <c r="I3" s="374"/>
      <c r="J3" s="376"/>
    </row>
    <row r="4" spans="1:10" x14ac:dyDescent="0.7">
      <c r="A4" s="108">
        <v>1</v>
      </c>
      <c r="B4" s="109" t="s">
        <v>485</v>
      </c>
      <c r="C4" s="79"/>
      <c r="D4" s="79"/>
      <c r="E4" s="79"/>
      <c r="F4" s="79"/>
      <c r="G4" s="79"/>
      <c r="H4" s="79"/>
      <c r="I4" s="79"/>
      <c r="J4" s="80"/>
    </row>
    <row r="5" spans="1:10" ht="51" x14ac:dyDescent="0.7">
      <c r="A5" s="338" t="s">
        <v>245</v>
      </c>
      <c r="B5" s="62" t="s">
        <v>486</v>
      </c>
      <c r="C5" s="79" t="s">
        <v>247</v>
      </c>
      <c r="D5" s="79" t="s">
        <v>222</v>
      </c>
      <c r="E5" s="110">
        <v>1</v>
      </c>
      <c r="F5" s="79">
        <v>78.900000000000006</v>
      </c>
      <c r="G5" s="79">
        <v>0.9</v>
      </c>
      <c r="H5" s="79"/>
      <c r="I5" s="79">
        <f>F5*G5</f>
        <v>71.010000000000005</v>
      </c>
      <c r="J5" s="80"/>
    </row>
    <row r="6" spans="1:10" ht="34" x14ac:dyDescent="0.7">
      <c r="A6" s="338" t="s">
        <v>248</v>
      </c>
      <c r="B6" s="62" t="s">
        <v>487</v>
      </c>
      <c r="C6" s="79" t="s">
        <v>247</v>
      </c>
      <c r="D6" s="79" t="s">
        <v>222</v>
      </c>
      <c r="E6" s="110">
        <v>1</v>
      </c>
      <c r="F6" s="79">
        <v>5.7</v>
      </c>
      <c r="G6" s="79">
        <v>4.45</v>
      </c>
      <c r="H6" s="111"/>
      <c r="I6" s="112">
        <f>F6*G6</f>
        <v>25.365000000000002</v>
      </c>
      <c r="J6" s="80"/>
    </row>
    <row r="7" spans="1:10" ht="34" x14ac:dyDescent="0.7">
      <c r="A7" s="338" t="s">
        <v>479</v>
      </c>
      <c r="B7" s="62" t="s">
        <v>488</v>
      </c>
      <c r="C7" s="79" t="s">
        <v>247</v>
      </c>
      <c r="D7" s="79" t="s">
        <v>187</v>
      </c>
      <c r="E7" s="110">
        <v>1</v>
      </c>
      <c r="F7" s="79">
        <v>85</v>
      </c>
      <c r="G7" s="79">
        <v>0.9</v>
      </c>
      <c r="H7" s="79"/>
      <c r="I7" s="112">
        <f>F7*G7</f>
        <v>76.5</v>
      </c>
      <c r="J7" s="80"/>
    </row>
    <row r="8" spans="1:10" x14ac:dyDescent="0.7">
      <c r="A8" s="450" t="s">
        <v>481</v>
      </c>
      <c r="B8" s="448" t="s">
        <v>489</v>
      </c>
      <c r="C8" s="113" t="s">
        <v>12</v>
      </c>
      <c r="D8" s="114" t="s">
        <v>222</v>
      </c>
      <c r="E8" s="113">
        <v>2</v>
      </c>
      <c r="F8" s="113">
        <v>5</v>
      </c>
      <c r="G8" s="113"/>
      <c r="H8" s="113">
        <v>3</v>
      </c>
      <c r="I8" s="113">
        <f>PRODUCT(E8:H8)</f>
        <v>30</v>
      </c>
      <c r="J8" s="115" t="s">
        <v>490</v>
      </c>
    </row>
    <row r="9" spans="1:10" x14ac:dyDescent="0.7">
      <c r="A9" s="451"/>
      <c r="B9" s="449"/>
      <c r="C9" s="113" t="s">
        <v>12</v>
      </c>
      <c r="D9" s="114" t="s">
        <v>222</v>
      </c>
      <c r="E9" s="113">
        <v>1</v>
      </c>
      <c r="F9" s="113">
        <v>2.5</v>
      </c>
      <c r="G9" s="113"/>
      <c r="H9" s="113">
        <v>4.5</v>
      </c>
      <c r="I9" s="113">
        <f>PRODUCT(E9:H9)</f>
        <v>11.25</v>
      </c>
      <c r="J9" s="115" t="s">
        <v>490</v>
      </c>
    </row>
    <row r="10" spans="1:10" x14ac:dyDescent="0.7">
      <c r="A10" s="451"/>
      <c r="B10" s="449"/>
      <c r="C10" s="113" t="s">
        <v>12</v>
      </c>
      <c r="D10" s="114" t="s">
        <v>222</v>
      </c>
      <c r="E10" s="113">
        <v>1</v>
      </c>
      <c r="F10" s="113">
        <v>6.8</v>
      </c>
      <c r="G10" s="113"/>
      <c r="H10" s="113">
        <v>5.5</v>
      </c>
      <c r="I10" s="113">
        <f>PRODUCT(E10:H10)</f>
        <v>37.4</v>
      </c>
      <c r="J10" s="115" t="s">
        <v>491</v>
      </c>
    </row>
    <row r="11" spans="1:10" ht="17.5" thickBot="1" x14ac:dyDescent="0.75">
      <c r="A11" s="451"/>
      <c r="B11" s="449"/>
      <c r="C11" s="116" t="s">
        <v>12</v>
      </c>
      <c r="D11" s="117" t="s">
        <v>222</v>
      </c>
      <c r="E11" s="116">
        <v>1</v>
      </c>
      <c r="F11" s="116">
        <v>2.15</v>
      </c>
      <c r="G11" s="116"/>
      <c r="H11" s="116">
        <v>5.5</v>
      </c>
      <c r="I11" s="116">
        <f>PRODUCT(E11:H11)</f>
        <v>11.824999999999999</v>
      </c>
      <c r="J11" s="118" t="s">
        <v>491</v>
      </c>
    </row>
    <row r="12" spans="1:10" s="91" customFormat="1" ht="17.5" thickBot="1" x14ac:dyDescent="0.75">
      <c r="A12" s="318"/>
      <c r="B12" s="119"/>
      <c r="C12" s="325"/>
      <c r="D12" s="325"/>
      <c r="E12" s="325"/>
      <c r="F12" s="325"/>
      <c r="G12" s="381" t="s">
        <v>224</v>
      </c>
      <c r="H12" s="382"/>
      <c r="I12" s="326">
        <f>SUM(I5:I11)</f>
        <v>263.35000000000002</v>
      </c>
      <c r="J12" s="120"/>
    </row>
    <row r="13" spans="1:10" x14ac:dyDescent="0.7">
      <c r="A13" s="121" t="s">
        <v>492</v>
      </c>
      <c r="B13" s="122"/>
      <c r="C13" s="122"/>
      <c r="D13" s="122"/>
      <c r="E13" s="122"/>
      <c r="F13" s="122"/>
      <c r="G13" s="122"/>
      <c r="H13" s="122"/>
      <c r="I13" s="122"/>
      <c r="J13" s="123"/>
    </row>
    <row r="14" spans="1:10" ht="51" x14ac:dyDescent="0.7">
      <c r="A14" s="332">
        <v>2</v>
      </c>
      <c r="B14" s="124" t="s">
        <v>493</v>
      </c>
      <c r="C14" s="125"/>
      <c r="D14" s="126"/>
      <c r="E14" s="125"/>
      <c r="F14" s="125"/>
      <c r="G14" s="125"/>
      <c r="H14" s="125"/>
      <c r="I14" s="125"/>
      <c r="J14" s="127"/>
    </row>
    <row r="15" spans="1:10" ht="17.5" thickBot="1" x14ac:dyDescent="0.75">
      <c r="A15" s="331" t="s">
        <v>245</v>
      </c>
      <c r="B15" s="128" t="s">
        <v>494</v>
      </c>
      <c r="C15" s="129" t="s">
        <v>12</v>
      </c>
      <c r="D15" s="111" t="s">
        <v>222</v>
      </c>
      <c r="E15" s="129">
        <v>1</v>
      </c>
      <c r="F15" s="129">
        <v>13.4</v>
      </c>
      <c r="G15" s="129"/>
      <c r="H15" s="129">
        <v>16.600000000000001</v>
      </c>
      <c r="I15" s="129">
        <f>PRODUCT(E15:H15)</f>
        <v>222.44000000000003</v>
      </c>
      <c r="J15" s="130"/>
    </row>
    <row r="16" spans="1:10" s="91" customFormat="1" ht="17.5" thickBot="1" x14ac:dyDescent="0.75">
      <c r="A16" s="318"/>
      <c r="B16" s="119"/>
      <c r="C16" s="325"/>
      <c r="D16" s="325"/>
      <c r="E16" s="325"/>
      <c r="F16" s="325"/>
      <c r="G16" s="381" t="s">
        <v>224</v>
      </c>
      <c r="H16" s="383"/>
      <c r="I16" s="326">
        <f>I15</f>
        <v>222.44000000000003</v>
      </c>
      <c r="J16" s="120"/>
    </row>
    <row r="17" spans="1:21" x14ac:dyDescent="0.7">
      <c r="A17" s="131"/>
      <c r="B17" s="122" t="s">
        <v>495</v>
      </c>
      <c r="C17" s="122"/>
      <c r="D17" s="122"/>
      <c r="E17" s="122"/>
      <c r="F17" s="122"/>
      <c r="G17" s="122"/>
      <c r="H17" s="122"/>
      <c r="I17" s="122"/>
      <c r="J17" s="123"/>
    </row>
    <row r="18" spans="1:21" ht="51" x14ac:dyDescent="0.7">
      <c r="A18" s="338">
        <v>3</v>
      </c>
      <c r="B18" s="124" t="s">
        <v>496</v>
      </c>
      <c r="C18" s="125"/>
      <c r="D18" s="126"/>
      <c r="E18" s="125"/>
      <c r="F18" s="125"/>
      <c r="G18" s="125"/>
      <c r="H18" s="125"/>
      <c r="I18" s="125"/>
      <c r="J18" s="127"/>
    </row>
    <row r="19" spans="1:21" x14ac:dyDescent="0.7">
      <c r="A19" s="444" t="s">
        <v>245</v>
      </c>
      <c r="B19" s="132" t="s">
        <v>497</v>
      </c>
      <c r="C19" s="133" t="s">
        <v>12</v>
      </c>
      <c r="D19" s="79" t="s">
        <v>222</v>
      </c>
      <c r="E19" s="133">
        <v>3</v>
      </c>
      <c r="F19" s="133">
        <v>2.9</v>
      </c>
      <c r="G19" s="133"/>
      <c r="H19" s="133">
        <v>1.8</v>
      </c>
      <c r="I19" s="133">
        <f t="shared" ref="I19:I24" si="0">PRODUCT(E19:H19)</f>
        <v>15.659999999999998</v>
      </c>
      <c r="J19" s="134"/>
    </row>
    <row r="20" spans="1:21" x14ac:dyDescent="0.7">
      <c r="A20" s="444"/>
      <c r="B20" s="132" t="s">
        <v>498</v>
      </c>
      <c r="C20" s="133" t="s">
        <v>12</v>
      </c>
      <c r="D20" s="79" t="s">
        <v>223</v>
      </c>
      <c r="E20" s="133">
        <v>2</v>
      </c>
      <c r="F20" s="133">
        <v>3.6</v>
      </c>
      <c r="G20" s="133"/>
      <c r="H20" s="133">
        <v>2.6</v>
      </c>
      <c r="I20" s="133">
        <f t="shared" si="0"/>
        <v>18.720000000000002</v>
      </c>
      <c r="J20" s="134"/>
    </row>
    <row r="21" spans="1:21" x14ac:dyDescent="0.7">
      <c r="A21" s="444"/>
      <c r="B21" s="132" t="s">
        <v>499</v>
      </c>
      <c r="C21" s="133" t="s">
        <v>12</v>
      </c>
      <c r="D21" s="79" t="s">
        <v>223</v>
      </c>
      <c r="E21" s="133">
        <v>14</v>
      </c>
      <c r="F21" s="133">
        <v>3.2</v>
      </c>
      <c r="G21" s="133"/>
      <c r="H21" s="133">
        <v>1.22</v>
      </c>
      <c r="I21" s="133">
        <f t="shared" si="0"/>
        <v>54.656000000000006</v>
      </c>
      <c r="J21" s="134"/>
      <c r="M21" s="109"/>
      <c r="N21" s="109"/>
      <c r="O21" s="109"/>
      <c r="P21" s="109"/>
      <c r="Q21" s="109"/>
      <c r="R21" s="109"/>
      <c r="S21" s="109"/>
      <c r="T21" s="109"/>
      <c r="U21" s="109"/>
    </row>
    <row r="22" spans="1:21" x14ac:dyDescent="0.7">
      <c r="A22" s="444"/>
      <c r="B22" s="132" t="s">
        <v>500</v>
      </c>
      <c r="C22" s="133" t="s">
        <v>12</v>
      </c>
      <c r="D22" s="79" t="s">
        <v>222</v>
      </c>
      <c r="E22" s="133">
        <v>1</v>
      </c>
      <c r="F22" s="113">
        <v>3.5</v>
      </c>
      <c r="G22" s="133"/>
      <c r="H22" s="133">
        <v>1.3</v>
      </c>
      <c r="I22" s="133">
        <f t="shared" si="0"/>
        <v>4.55</v>
      </c>
      <c r="J22" s="83" t="s">
        <v>344</v>
      </c>
    </row>
    <row r="23" spans="1:21" x14ac:dyDescent="0.7">
      <c r="A23" s="444"/>
      <c r="B23" s="132" t="s">
        <v>500</v>
      </c>
      <c r="C23" s="133" t="s">
        <v>12</v>
      </c>
      <c r="D23" s="79" t="s">
        <v>222</v>
      </c>
      <c r="E23" s="133">
        <v>1</v>
      </c>
      <c r="F23" s="133">
        <v>2.7</v>
      </c>
      <c r="G23" s="133"/>
      <c r="H23" s="133">
        <v>1.3</v>
      </c>
      <c r="I23" s="133">
        <f t="shared" si="0"/>
        <v>3.5100000000000002</v>
      </c>
      <c r="J23" s="83" t="s">
        <v>501</v>
      </c>
    </row>
    <row r="24" spans="1:21" ht="17.5" thickBot="1" x14ac:dyDescent="0.75">
      <c r="A24" s="418"/>
      <c r="B24" s="128" t="s">
        <v>502</v>
      </c>
      <c r="C24" s="111" t="s">
        <v>12</v>
      </c>
      <c r="D24" s="111" t="s">
        <v>223</v>
      </c>
      <c r="E24" s="111">
        <v>1</v>
      </c>
      <c r="F24" s="111">
        <v>20</v>
      </c>
      <c r="G24" s="111"/>
      <c r="H24" s="111">
        <v>5</v>
      </c>
      <c r="I24" s="111">
        <f t="shared" si="0"/>
        <v>100</v>
      </c>
      <c r="J24" s="135"/>
    </row>
    <row r="25" spans="1:21" s="91" customFormat="1" ht="17.5" thickBot="1" x14ac:dyDescent="0.75">
      <c r="A25" s="328"/>
      <c r="B25" s="136"/>
      <c r="C25" s="337"/>
      <c r="D25" s="337"/>
      <c r="E25" s="337"/>
      <c r="F25" s="137"/>
      <c r="G25" s="442" t="s">
        <v>224</v>
      </c>
      <c r="H25" s="443"/>
      <c r="I25" s="138">
        <f>SUM(I19:I24)</f>
        <v>197.096</v>
      </c>
      <c r="J25" s="319"/>
    </row>
    <row r="26" spans="1:21" x14ac:dyDescent="0.7">
      <c r="A26" s="139"/>
      <c r="B26" s="122" t="s">
        <v>503</v>
      </c>
      <c r="C26" s="126"/>
      <c r="D26" s="126"/>
      <c r="E26" s="126"/>
      <c r="F26" s="140"/>
      <c r="G26" s="141"/>
      <c r="H26" s="142"/>
      <c r="I26" s="143"/>
      <c r="J26" s="144"/>
    </row>
    <row r="27" spans="1:21" ht="51" x14ac:dyDescent="0.7">
      <c r="A27" s="338">
        <v>3.1</v>
      </c>
      <c r="B27" s="145" t="s">
        <v>504</v>
      </c>
      <c r="C27" s="79"/>
      <c r="D27" s="79"/>
      <c r="E27" s="79"/>
      <c r="F27" s="79"/>
      <c r="G27" s="79"/>
      <c r="H27" s="79"/>
      <c r="I27" s="79"/>
      <c r="J27" s="83"/>
    </row>
    <row r="28" spans="1:21" x14ac:dyDescent="0.7">
      <c r="A28" s="418" t="s">
        <v>248</v>
      </c>
      <c r="B28" s="146" t="s">
        <v>505</v>
      </c>
      <c r="C28" s="113" t="s">
        <v>12</v>
      </c>
      <c r="D28" s="114" t="s">
        <v>223</v>
      </c>
      <c r="E28" s="113">
        <v>2</v>
      </c>
      <c r="F28" s="113">
        <f>3.6+2.6+3.6+2</f>
        <v>11.8</v>
      </c>
      <c r="G28" s="113"/>
      <c r="H28" s="113">
        <v>0.1</v>
      </c>
      <c r="I28" s="113">
        <f>PRODUCT(E28:H28)</f>
        <v>2.3600000000000003</v>
      </c>
      <c r="J28" s="147"/>
    </row>
    <row r="29" spans="1:21" x14ac:dyDescent="0.7">
      <c r="A29" s="441"/>
      <c r="B29" s="445" t="s">
        <v>506</v>
      </c>
      <c r="C29" s="114" t="s">
        <v>12</v>
      </c>
      <c r="D29" s="114" t="s">
        <v>222</v>
      </c>
      <c r="E29" s="114">
        <v>2</v>
      </c>
      <c r="F29" s="114">
        <v>4.03</v>
      </c>
      <c r="G29" s="114"/>
      <c r="H29" s="114">
        <v>0.1</v>
      </c>
      <c r="I29" s="113">
        <f>PRODUCT(E29:H29)</f>
        <v>0.80600000000000005</v>
      </c>
      <c r="J29" s="147"/>
    </row>
    <row r="30" spans="1:21" x14ac:dyDescent="0.7">
      <c r="A30" s="441"/>
      <c r="B30" s="445"/>
      <c r="C30" s="114" t="s">
        <v>12</v>
      </c>
      <c r="D30" s="114" t="s">
        <v>222</v>
      </c>
      <c r="E30" s="114">
        <v>2</v>
      </c>
      <c r="F30" s="114">
        <v>5.83</v>
      </c>
      <c r="G30" s="114"/>
      <c r="H30" s="114">
        <v>0.1</v>
      </c>
      <c r="I30" s="113">
        <f>PRODUCT(E30:H30)</f>
        <v>1.1660000000000001</v>
      </c>
      <c r="J30" s="147"/>
    </row>
    <row r="31" spans="1:21" x14ac:dyDescent="0.7">
      <c r="A31" s="441"/>
      <c r="B31" s="446" t="s">
        <v>507</v>
      </c>
      <c r="C31" s="114" t="s">
        <v>12</v>
      </c>
      <c r="D31" s="114" t="s">
        <v>222</v>
      </c>
      <c r="E31" s="114">
        <v>2</v>
      </c>
      <c r="F31" s="114">
        <v>4</v>
      </c>
      <c r="G31" s="114"/>
      <c r="H31" s="114">
        <v>0.1</v>
      </c>
      <c r="I31" s="113">
        <f>PRODUCT(E31:H31)</f>
        <v>0.8</v>
      </c>
      <c r="J31" s="147"/>
    </row>
    <row r="32" spans="1:21" ht="17.5" thickBot="1" x14ac:dyDescent="0.75">
      <c r="A32" s="441"/>
      <c r="B32" s="447"/>
      <c r="C32" s="117" t="s">
        <v>12</v>
      </c>
      <c r="D32" s="117" t="s">
        <v>222</v>
      </c>
      <c r="E32" s="117">
        <v>2</v>
      </c>
      <c r="F32" s="117">
        <v>2.87</v>
      </c>
      <c r="G32" s="117"/>
      <c r="H32" s="117">
        <v>0.1</v>
      </c>
      <c r="I32" s="116">
        <f>PRODUCT(E32:H32)</f>
        <v>0.57400000000000007</v>
      </c>
      <c r="J32" s="148"/>
    </row>
    <row r="33" spans="1:10" s="91" customFormat="1" ht="17.5" thickBot="1" x14ac:dyDescent="0.75">
      <c r="A33" s="318"/>
      <c r="B33" s="119"/>
      <c r="C33" s="325"/>
      <c r="D33" s="325"/>
      <c r="E33" s="325"/>
      <c r="F33" s="325"/>
      <c r="G33" s="381" t="s">
        <v>224</v>
      </c>
      <c r="H33" s="382"/>
      <c r="I33" s="326">
        <f>SUM(I28:I32)</f>
        <v>5.7060000000000004</v>
      </c>
      <c r="J33" s="120"/>
    </row>
    <row r="34" spans="1:10" ht="51" x14ac:dyDescent="0.7">
      <c r="A34" s="332">
        <v>4</v>
      </c>
      <c r="B34" s="124" t="s">
        <v>508</v>
      </c>
      <c r="C34" s="125"/>
      <c r="D34" s="126"/>
      <c r="E34" s="125"/>
      <c r="F34" s="125"/>
      <c r="G34" s="125"/>
      <c r="H34" s="125"/>
      <c r="I34" s="125"/>
      <c r="J34" s="127"/>
    </row>
    <row r="35" spans="1:10" x14ac:dyDescent="0.7">
      <c r="A35" s="338"/>
      <c r="B35" s="132" t="s">
        <v>331</v>
      </c>
      <c r="C35" s="133" t="s">
        <v>12</v>
      </c>
      <c r="D35" s="79" t="s">
        <v>222</v>
      </c>
      <c r="E35" s="133">
        <v>10</v>
      </c>
      <c r="F35" s="113">
        <f>1.3*2</f>
        <v>2.6</v>
      </c>
      <c r="G35" s="113"/>
      <c r="H35" s="113">
        <v>0.2</v>
      </c>
      <c r="I35" s="113">
        <f>PRODUCT(E35:H35)</f>
        <v>5.2</v>
      </c>
      <c r="J35" s="149"/>
    </row>
    <row r="36" spans="1:10" ht="17.5" thickBot="1" x14ac:dyDescent="0.75">
      <c r="A36" s="331"/>
      <c r="B36" s="128" t="s">
        <v>509</v>
      </c>
      <c r="C36" s="129" t="s">
        <v>12</v>
      </c>
      <c r="D36" s="111" t="s">
        <v>222</v>
      </c>
      <c r="E36" s="129">
        <v>10</v>
      </c>
      <c r="F36" s="116">
        <f>1.8*2</f>
        <v>3.6</v>
      </c>
      <c r="G36" s="116"/>
      <c r="H36" s="116">
        <v>0.2</v>
      </c>
      <c r="I36" s="116">
        <f>PRODUCT(E36:H36)</f>
        <v>7.2</v>
      </c>
      <c r="J36" s="150"/>
    </row>
    <row r="37" spans="1:10" ht="17.5" thickBot="1" x14ac:dyDescent="0.75">
      <c r="A37" s="318"/>
      <c r="B37" s="119"/>
      <c r="C37" s="325"/>
      <c r="D37" s="325"/>
      <c r="E37" s="325"/>
      <c r="F37" s="325"/>
      <c r="G37" s="381" t="s">
        <v>224</v>
      </c>
      <c r="H37" s="382"/>
      <c r="I37" s="326">
        <f>SUM(I35:I36)</f>
        <v>12.4</v>
      </c>
      <c r="J37" s="120"/>
    </row>
  </sheetData>
  <autoFilter ref="A3:J7" xr:uid="{22997E94-B04C-46FC-9851-78B0BF1DB92A}"/>
  <mergeCells count="20">
    <mergeCell ref="B8:B11"/>
    <mergeCell ref="A8:A11"/>
    <mergeCell ref="G12:H12"/>
    <mergeCell ref="G16:H16"/>
    <mergeCell ref="A1:J1"/>
    <mergeCell ref="A2:A3"/>
    <mergeCell ref="B2:B3"/>
    <mergeCell ref="C2:C3"/>
    <mergeCell ref="D2:D3"/>
    <mergeCell ref="E2:E3"/>
    <mergeCell ref="G37:H37"/>
    <mergeCell ref="F2:H2"/>
    <mergeCell ref="I2:I3"/>
    <mergeCell ref="J2:J3"/>
    <mergeCell ref="G33:H33"/>
    <mergeCell ref="A28:A32"/>
    <mergeCell ref="G25:H25"/>
    <mergeCell ref="A19:A24"/>
    <mergeCell ref="B29:B30"/>
    <mergeCell ref="B31:B32"/>
  </mergeCells>
  <pageMargins left="0.7" right="0.7" top="0.75" bottom="0.75" header="0.3" footer="0.3"/>
  <pageSetup scale="69" orientation="portrait" r:id="rId1"/>
  <ignoredErrors>
    <ignoredError sqref="I2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254A6-D84A-43D8-AB0F-C92D90D9D56C}">
  <sheetPr>
    <tabColor rgb="FF002060"/>
  </sheetPr>
  <dimension ref="A1:J13"/>
  <sheetViews>
    <sheetView view="pageBreakPreview" zoomScaleNormal="100" zoomScaleSheetLayoutView="100" workbookViewId="0">
      <pane ySplit="3" topLeftCell="A4" activePane="bottomLeft" state="frozen"/>
      <selection activeCell="D9" sqref="D9"/>
      <selection pane="bottomLeft" activeCell="O10" sqref="O10"/>
    </sheetView>
  </sheetViews>
  <sheetFormatPr defaultColWidth="8.6328125" defaultRowHeight="17" x14ac:dyDescent="0.7"/>
  <cols>
    <col min="1" max="1" width="5.36328125" style="76" bestFit="1" customWidth="1"/>
    <col min="2" max="2" width="31.90625" style="210" customWidth="1"/>
    <col min="3" max="5" width="9.36328125" style="90" customWidth="1"/>
    <col min="6" max="6" width="12.36328125" style="90" customWidth="1"/>
    <col min="7" max="7" width="7.54296875" style="90" bestFit="1" customWidth="1"/>
    <col min="8" max="8" width="12.36328125" style="90" customWidth="1"/>
    <col min="9" max="9" width="10.54296875" style="90" customWidth="1"/>
    <col min="10" max="10" width="14.36328125" style="76" customWidth="1"/>
    <col min="11" max="16384" width="8.6328125" style="76"/>
  </cols>
  <sheetData>
    <row r="1" spans="1:10" ht="17.5" thickBot="1" x14ac:dyDescent="0.75">
      <c r="A1" s="370" t="s">
        <v>157</v>
      </c>
      <c r="B1" s="371"/>
      <c r="C1" s="371"/>
      <c r="D1" s="371"/>
      <c r="E1" s="371"/>
      <c r="F1" s="371"/>
      <c r="G1" s="371"/>
      <c r="H1" s="371"/>
      <c r="I1" s="371"/>
      <c r="J1" s="372"/>
    </row>
    <row r="2" spans="1:10" s="77" customFormat="1" x14ac:dyDescent="0.35">
      <c r="A2" s="377" t="s">
        <v>2</v>
      </c>
      <c r="B2" s="373" t="s">
        <v>158</v>
      </c>
      <c r="C2" s="379" t="s">
        <v>159</v>
      </c>
      <c r="D2" s="379" t="s">
        <v>160</v>
      </c>
      <c r="E2" s="379" t="s">
        <v>22</v>
      </c>
      <c r="F2" s="379" t="s">
        <v>161</v>
      </c>
      <c r="G2" s="379"/>
      <c r="H2" s="379"/>
      <c r="I2" s="373" t="s">
        <v>5</v>
      </c>
      <c r="J2" s="375" t="s">
        <v>8</v>
      </c>
    </row>
    <row r="3" spans="1:10" s="77" customFormat="1" x14ac:dyDescent="0.35">
      <c r="A3" s="378"/>
      <c r="B3" s="374"/>
      <c r="C3" s="380"/>
      <c r="D3" s="380"/>
      <c r="E3" s="380"/>
      <c r="F3" s="324" t="s">
        <v>162</v>
      </c>
      <c r="G3" s="324" t="s">
        <v>163</v>
      </c>
      <c r="H3" s="324" t="s">
        <v>164</v>
      </c>
      <c r="I3" s="374"/>
      <c r="J3" s="376"/>
    </row>
    <row r="4" spans="1:10" x14ac:dyDescent="0.7">
      <c r="A4" s="78">
        <v>1</v>
      </c>
      <c r="B4" s="253" t="s">
        <v>165</v>
      </c>
      <c r="C4" s="79"/>
      <c r="D4" s="79"/>
      <c r="E4" s="79"/>
      <c r="F4" s="79"/>
      <c r="G4" s="79"/>
      <c r="H4" s="79"/>
      <c r="I4" s="79"/>
      <c r="J4" s="80"/>
    </row>
    <row r="5" spans="1:10" x14ac:dyDescent="0.7">
      <c r="A5" s="338" t="s">
        <v>99</v>
      </c>
      <c r="B5" s="62" t="s">
        <v>166</v>
      </c>
      <c r="C5" s="79" t="s">
        <v>12</v>
      </c>
      <c r="D5" s="79" t="s">
        <v>167</v>
      </c>
      <c r="E5" s="79">
        <v>1</v>
      </c>
      <c r="F5" s="82">
        <f>4.5+2.9+3.9</f>
        <v>11.3</v>
      </c>
      <c r="G5" s="82"/>
      <c r="H5" s="82">
        <v>2.81</v>
      </c>
      <c r="I5" s="82">
        <f>PRODUCT(E5:H5)</f>
        <v>31.753000000000004</v>
      </c>
      <c r="J5" s="83" t="s">
        <v>168</v>
      </c>
    </row>
    <row r="6" spans="1:10" x14ac:dyDescent="0.7">
      <c r="A6" s="78">
        <v>2</v>
      </c>
      <c r="B6" s="253" t="s">
        <v>169</v>
      </c>
      <c r="C6" s="79"/>
      <c r="D6" s="79"/>
      <c r="E6" s="79"/>
      <c r="F6" s="82"/>
      <c r="G6" s="82"/>
      <c r="H6" s="82"/>
      <c r="I6" s="82"/>
      <c r="J6" s="80"/>
    </row>
    <row r="7" spans="1:10" x14ac:dyDescent="0.7">
      <c r="A7" s="84" t="s">
        <v>99</v>
      </c>
      <c r="B7" s="62" t="s">
        <v>170</v>
      </c>
      <c r="C7" s="79" t="s">
        <v>12</v>
      </c>
      <c r="D7" s="79"/>
      <c r="E7" s="79">
        <v>1</v>
      </c>
      <c r="F7" s="82">
        <v>3.8</v>
      </c>
      <c r="G7" s="82"/>
      <c r="H7" s="82">
        <v>2.81</v>
      </c>
      <c r="I7" s="82">
        <f>PRODUCT(E7:H7)</f>
        <v>10.677999999999999</v>
      </c>
      <c r="J7" s="83" t="s">
        <v>168</v>
      </c>
    </row>
    <row r="8" spans="1:10" x14ac:dyDescent="0.7">
      <c r="A8" s="84" t="s">
        <v>101</v>
      </c>
      <c r="B8" s="62" t="s">
        <v>171</v>
      </c>
      <c r="C8" s="79" t="s">
        <v>12</v>
      </c>
      <c r="D8" s="79"/>
      <c r="E8" s="79">
        <v>1</v>
      </c>
      <c r="F8" s="82">
        <v>4.03</v>
      </c>
      <c r="G8" s="82"/>
      <c r="H8" s="82">
        <v>2.75</v>
      </c>
      <c r="I8" s="82">
        <f>PRODUCT(E8:H8)</f>
        <v>11.082500000000001</v>
      </c>
      <c r="J8" s="83" t="s">
        <v>168</v>
      </c>
    </row>
    <row r="9" spans="1:10" x14ac:dyDescent="0.7">
      <c r="A9" s="78">
        <v>3</v>
      </c>
      <c r="B9" s="253" t="s">
        <v>172</v>
      </c>
      <c r="C9" s="79"/>
      <c r="D9" s="79"/>
      <c r="E9" s="79"/>
      <c r="F9" s="82"/>
      <c r="G9" s="82"/>
      <c r="H9" s="82"/>
      <c r="I9" s="82"/>
      <c r="J9" s="80"/>
    </row>
    <row r="10" spans="1:10" ht="34" x14ac:dyDescent="0.7">
      <c r="A10" s="84" t="s">
        <v>99</v>
      </c>
      <c r="B10" s="62" t="s">
        <v>173</v>
      </c>
      <c r="C10" s="79" t="s">
        <v>12</v>
      </c>
      <c r="D10" s="79"/>
      <c r="E10" s="79">
        <v>1</v>
      </c>
      <c r="F10" s="82">
        <v>15</v>
      </c>
      <c r="G10" s="82"/>
      <c r="H10" s="82">
        <v>2.75</v>
      </c>
      <c r="I10" s="82">
        <f>PRODUCT(E10:H10)</f>
        <v>41.25</v>
      </c>
      <c r="J10" s="80"/>
    </row>
    <row r="11" spans="1:10" ht="17.5" thickBot="1" x14ac:dyDescent="0.75">
      <c r="A11" s="85"/>
      <c r="B11" s="254"/>
      <c r="C11" s="87"/>
      <c r="D11" s="87"/>
      <c r="E11" s="87"/>
      <c r="F11" s="87"/>
      <c r="G11" s="87"/>
      <c r="H11" s="345" t="s">
        <v>174</v>
      </c>
      <c r="I11" s="88">
        <f>SUM(I5:I10)</f>
        <v>94.763500000000008</v>
      </c>
      <c r="J11" s="89"/>
    </row>
    <row r="13" spans="1:10" x14ac:dyDescent="0.7">
      <c r="B13" s="255"/>
    </row>
  </sheetData>
  <mergeCells count="9">
    <mergeCell ref="A1:J1"/>
    <mergeCell ref="I2:I3"/>
    <mergeCell ref="J2:J3"/>
    <mergeCell ref="A2:A3"/>
    <mergeCell ref="B2:B3"/>
    <mergeCell ref="C2:C3"/>
    <mergeCell ref="D2:D3"/>
    <mergeCell ref="E2:E3"/>
    <mergeCell ref="F2:H2"/>
  </mergeCells>
  <pageMargins left="0.7" right="0.7" top="0.75" bottom="0.75" header="0.3" footer="0.3"/>
  <pageSetup scale="7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5D029-8082-43C6-9608-CA6F87C3445A}">
  <sheetPr>
    <tabColor rgb="FF002060"/>
  </sheetPr>
  <dimension ref="A1:I19"/>
  <sheetViews>
    <sheetView view="pageBreakPreview" zoomScale="96" zoomScaleNormal="100" workbookViewId="0">
      <pane ySplit="3" topLeftCell="A13" activePane="bottomLeft" state="frozen"/>
      <selection activeCell="D9" sqref="D9"/>
      <selection pane="bottomLeft" activeCell="M8" sqref="M8"/>
    </sheetView>
  </sheetViews>
  <sheetFormatPr defaultColWidth="8.6328125" defaultRowHeight="17" x14ac:dyDescent="0.7"/>
  <cols>
    <col min="1" max="1" width="5.6328125" style="76" bestFit="1" customWidth="1"/>
    <col min="2" max="2" width="24.36328125" style="76" bestFit="1" customWidth="1"/>
    <col min="3" max="4" width="8.6328125" style="76"/>
    <col min="5" max="5" width="8.08984375" style="76" bestFit="1" customWidth="1"/>
    <col min="6" max="6" width="9.36328125" style="76" bestFit="1" customWidth="1"/>
    <col min="7" max="7" width="7.6328125" style="76" bestFit="1" customWidth="1"/>
    <col min="8" max="8" width="11.08984375" style="76" bestFit="1" customWidth="1"/>
    <col min="9" max="9" width="11.6328125" style="76" customWidth="1"/>
    <col min="10" max="16384" width="8.6328125" style="76"/>
  </cols>
  <sheetData>
    <row r="1" spans="1:9" ht="17.5" thickBot="1" x14ac:dyDescent="0.75">
      <c r="A1" s="457" t="s">
        <v>510</v>
      </c>
      <c r="B1" s="458"/>
      <c r="C1" s="458"/>
      <c r="D1" s="458"/>
      <c r="E1" s="458"/>
      <c r="F1" s="458"/>
      <c r="G1" s="458"/>
      <c r="H1" s="458"/>
      <c r="I1" s="459"/>
    </row>
    <row r="2" spans="1:9" x14ac:dyDescent="0.7">
      <c r="A2" s="460" t="s">
        <v>2</v>
      </c>
      <c r="B2" s="462" t="s">
        <v>158</v>
      </c>
      <c r="C2" s="462" t="s">
        <v>159</v>
      </c>
      <c r="D2" s="462" t="s">
        <v>22</v>
      </c>
      <c r="E2" s="462" t="s">
        <v>161</v>
      </c>
      <c r="F2" s="462"/>
      <c r="G2" s="462"/>
      <c r="H2" s="464" t="s">
        <v>5</v>
      </c>
      <c r="I2" s="466" t="s">
        <v>8</v>
      </c>
    </row>
    <row r="3" spans="1:9" x14ac:dyDescent="0.7">
      <c r="A3" s="461"/>
      <c r="B3" s="463"/>
      <c r="C3" s="463"/>
      <c r="D3" s="463"/>
      <c r="E3" s="341" t="s">
        <v>162</v>
      </c>
      <c r="F3" s="341" t="s">
        <v>163</v>
      </c>
      <c r="G3" s="341" t="s">
        <v>164</v>
      </c>
      <c r="H3" s="465"/>
      <c r="I3" s="467"/>
    </row>
    <row r="4" spans="1:9" x14ac:dyDescent="0.7">
      <c r="A4" s="340">
        <v>1</v>
      </c>
      <c r="B4" s="92" t="s">
        <v>511</v>
      </c>
      <c r="C4" s="341"/>
      <c r="D4" s="341"/>
      <c r="E4" s="341"/>
      <c r="F4" s="341"/>
      <c r="G4" s="341"/>
      <c r="H4" s="342"/>
      <c r="I4" s="343"/>
    </row>
    <row r="5" spans="1:9" x14ac:dyDescent="0.7">
      <c r="A5" s="93"/>
      <c r="B5" s="94" t="s">
        <v>512</v>
      </c>
      <c r="C5" s="95" t="s">
        <v>12</v>
      </c>
      <c r="D5" s="95">
        <f>8*2</f>
        <v>16</v>
      </c>
      <c r="E5" s="95">
        <v>6</v>
      </c>
      <c r="F5" s="96">
        <f>(2*3.14*(356/2))/1000</f>
        <v>1.1178400000000002</v>
      </c>
      <c r="G5" s="95"/>
      <c r="H5" s="96">
        <f t="shared" ref="H5:H18" si="0">PRODUCT(D5:G5)</f>
        <v>107.31264000000002</v>
      </c>
      <c r="I5" s="97"/>
    </row>
    <row r="6" spans="1:9" x14ac:dyDescent="0.7">
      <c r="A6" s="93"/>
      <c r="B6" s="94" t="s">
        <v>513</v>
      </c>
      <c r="C6" s="95" t="s">
        <v>12</v>
      </c>
      <c r="D6" s="95">
        <f>8*2</f>
        <v>16</v>
      </c>
      <c r="E6" s="95">
        <v>0.5</v>
      </c>
      <c r="F6" s="96">
        <v>0.5</v>
      </c>
      <c r="G6" s="95"/>
      <c r="H6" s="96">
        <f t="shared" si="0"/>
        <v>4</v>
      </c>
      <c r="I6" s="97"/>
    </row>
    <row r="7" spans="1:9" x14ac:dyDescent="0.7">
      <c r="A7" s="93"/>
      <c r="B7" s="94" t="s">
        <v>514</v>
      </c>
      <c r="C7" s="95" t="s">
        <v>12</v>
      </c>
      <c r="D7" s="98">
        <v>3</v>
      </c>
      <c r="E7" s="95">
        <f>(8+4)</f>
        <v>12</v>
      </c>
      <c r="F7" s="96">
        <f>(2*3.14*(125/2))/1000</f>
        <v>0.39250000000000002</v>
      </c>
      <c r="G7" s="95"/>
      <c r="H7" s="96">
        <f t="shared" si="0"/>
        <v>14.13</v>
      </c>
      <c r="I7" s="97"/>
    </row>
    <row r="8" spans="1:9" x14ac:dyDescent="0.7">
      <c r="A8" s="93"/>
      <c r="B8" s="94"/>
      <c r="C8" s="95"/>
      <c r="D8" s="95"/>
      <c r="E8" s="454" t="s">
        <v>515</v>
      </c>
      <c r="F8" s="455"/>
      <c r="G8" s="456"/>
      <c r="H8" s="99">
        <f>SUM(H5:H7)</f>
        <v>125.44264000000001</v>
      </c>
      <c r="I8" s="97"/>
    </row>
    <row r="9" spans="1:9" x14ac:dyDescent="0.7">
      <c r="A9" s="100">
        <v>2</v>
      </c>
      <c r="B9" s="92" t="s">
        <v>516</v>
      </c>
      <c r="C9" s="95"/>
      <c r="D9" s="95"/>
      <c r="E9" s="95"/>
      <c r="F9" s="96"/>
      <c r="G9" s="95"/>
      <c r="H9" s="96"/>
      <c r="I9" s="97"/>
    </row>
    <row r="10" spans="1:9" x14ac:dyDescent="0.7">
      <c r="A10" s="93"/>
      <c r="B10" s="94" t="s">
        <v>517</v>
      </c>
      <c r="C10" s="95" t="s">
        <v>41</v>
      </c>
      <c r="D10" s="95">
        <f>7*38+8*36</f>
        <v>554</v>
      </c>
      <c r="E10" s="95">
        <v>2</v>
      </c>
      <c r="F10" s="96"/>
      <c r="G10" s="95"/>
      <c r="H10" s="96">
        <f t="shared" si="0"/>
        <v>1108</v>
      </c>
      <c r="I10" s="97"/>
    </row>
    <row r="11" spans="1:9" x14ac:dyDescent="0.7">
      <c r="A11" s="93"/>
      <c r="B11" s="94" t="s">
        <v>518</v>
      </c>
      <c r="C11" s="95" t="s">
        <v>41</v>
      </c>
      <c r="D11" s="101">
        <f>8*38</f>
        <v>304</v>
      </c>
      <c r="E11" s="95">
        <v>0.8</v>
      </c>
      <c r="F11" s="96"/>
      <c r="G11" s="101"/>
      <c r="H11" s="96">
        <f t="shared" si="0"/>
        <v>243.20000000000002</v>
      </c>
      <c r="I11" s="97"/>
    </row>
    <row r="12" spans="1:9" x14ac:dyDescent="0.7">
      <c r="A12" s="100">
        <v>3</v>
      </c>
      <c r="B12" s="92" t="s">
        <v>519</v>
      </c>
      <c r="C12" s="95"/>
      <c r="D12" s="101"/>
      <c r="E12" s="101"/>
      <c r="F12" s="102"/>
      <c r="G12" s="101"/>
      <c r="H12" s="96"/>
      <c r="I12" s="97"/>
    </row>
    <row r="13" spans="1:9" x14ac:dyDescent="0.7">
      <c r="A13" s="93"/>
      <c r="B13" s="94" t="s">
        <v>520</v>
      </c>
      <c r="C13" s="95" t="s">
        <v>41</v>
      </c>
      <c r="D13" s="101">
        <f>7*140+2*42</f>
        <v>1064</v>
      </c>
      <c r="E13" s="95">
        <v>2</v>
      </c>
      <c r="F13" s="96"/>
      <c r="G13" s="101"/>
      <c r="H13" s="96">
        <f t="shared" si="0"/>
        <v>2128</v>
      </c>
      <c r="I13" s="97"/>
    </row>
    <row r="14" spans="1:9" x14ac:dyDescent="0.7">
      <c r="A14" s="100">
        <v>4</v>
      </c>
      <c r="B14" s="92" t="s">
        <v>521</v>
      </c>
      <c r="C14" s="95"/>
      <c r="D14" s="101"/>
      <c r="E14" s="101"/>
      <c r="F14" s="102"/>
      <c r="G14" s="101"/>
      <c r="H14" s="96"/>
      <c r="I14" s="97"/>
    </row>
    <row r="15" spans="1:9" x14ac:dyDescent="0.7">
      <c r="A15" s="93"/>
      <c r="B15" s="94" t="s">
        <v>522</v>
      </c>
      <c r="C15" s="95" t="s">
        <v>41</v>
      </c>
      <c r="D15" s="95">
        <f>6*38+7*37</f>
        <v>487</v>
      </c>
      <c r="E15" s="95">
        <v>2</v>
      </c>
      <c r="F15" s="96"/>
      <c r="G15" s="101"/>
      <c r="H15" s="96">
        <f t="shared" si="0"/>
        <v>974</v>
      </c>
      <c r="I15" s="97"/>
    </row>
    <row r="16" spans="1:9" x14ac:dyDescent="0.7">
      <c r="A16" s="93"/>
      <c r="B16" s="94" t="s">
        <v>523</v>
      </c>
      <c r="C16" s="95" t="s">
        <v>41</v>
      </c>
      <c r="D16" s="101">
        <v>12</v>
      </c>
      <c r="E16" s="95">
        <v>76</v>
      </c>
      <c r="F16" s="96"/>
      <c r="G16" s="101"/>
      <c r="H16" s="96">
        <f t="shared" si="0"/>
        <v>912</v>
      </c>
      <c r="I16" s="97"/>
    </row>
    <row r="17" spans="1:9" x14ac:dyDescent="0.7">
      <c r="A17" s="103"/>
      <c r="B17" s="104" t="s">
        <v>524</v>
      </c>
      <c r="C17" s="95" t="s">
        <v>41</v>
      </c>
      <c r="D17" s="105">
        <f>2*2</f>
        <v>4</v>
      </c>
      <c r="E17" s="98">
        <v>76</v>
      </c>
      <c r="F17" s="106"/>
      <c r="G17" s="105"/>
      <c r="H17" s="106">
        <f t="shared" si="0"/>
        <v>304</v>
      </c>
      <c r="I17" s="97"/>
    </row>
    <row r="18" spans="1:9" x14ac:dyDescent="0.7">
      <c r="A18" s="103"/>
      <c r="B18" s="104" t="s">
        <v>525</v>
      </c>
      <c r="C18" s="95" t="s">
        <v>41</v>
      </c>
      <c r="D18" s="105">
        <f>(76/1)*2</f>
        <v>152</v>
      </c>
      <c r="E18" s="98">
        <v>1.2</v>
      </c>
      <c r="F18" s="106"/>
      <c r="G18" s="105"/>
      <c r="H18" s="106">
        <f t="shared" si="0"/>
        <v>182.4</v>
      </c>
      <c r="I18" s="97"/>
    </row>
    <row r="19" spans="1:9" ht="17.5" thickBot="1" x14ac:dyDescent="0.75">
      <c r="A19" s="452" t="s">
        <v>526</v>
      </c>
      <c r="B19" s="453"/>
      <c r="C19" s="453"/>
      <c r="D19" s="453"/>
      <c r="E19" s="453"/>
      <c r="F19" s="453"/>
      <c r="G19" s="453"/>
      <c r="H19" s="300">
        <v>0</v>
      </c>
      <c r="I19" s="107"/>
    </row>
  </sheetData>
  <mergeCells count="10">
    <mergeCell ref="A19:G19"/>
    <mergeCell ref="E8:G8"/>
    <mergeCell ref="A1:I1"/>
    <mergeCell ref="A2:A3"/>
    <mergeCell ref="B2:B3"/>
    <mergeCell ref="C2:C3"/>
    <mergeCell ref="D2:D3"/>
    <mergeCell ref="E2:G2"/>
    <mergeCell ref="H2:H3"/>
    <mergeCell ref="I2:I3"/>
  </mergeCells>
  <pageMargins left="0.7" right="0.7" top="0.75" bottom="0.75" header="0.3" footer="0.3"/>
  <pageSetup paperSize="9" scale="9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ABC8-0A54-4A3D-A517-C8DCAA4A99E7}">
  <sheetPr>
    <tabColor rgb="FF002060"/>
  </sheetPr>
  <dimension ref="A1:R17"/>
  <sheetViews>
    <sheetView view="pageBreakPreview" topLeftCell="A13" zoomScale="90" zoomScaleNormal="100" zoomScaleSheetLayoutView="90" workbookViewId="0">
      <selection activeCell="B8" sqref="B8"/>
    </sheetView>
  </sheetViews>
  <sheetFormatPr defaultColWidth="8.6328125" defaultRowHeight="17" x14ac:dyDescent="0.7"/>
  <cols>
    <col min="1" max="1" width="4.54296875" style="90" bestFit="1" customWidth="1"/>
    <col min="2" max="2" width="69.90625" style="76" bestFit="1" customWidth="1"/>
    <col min="3" max="3" width="4.26953125" style="151" bestFit="1" customWidth="1"/>
    <col min="4" max="4" width="4.7265625" style="90" bestFit="1" customWidth="1"/>
    <col min="5" max="5" width="4.1796875" style="76" bestFit="1" customWidth="1"/>
    <col min="6" max="6" width="6.54296875" style="76" bestFit="1" customWidth="1"/>
    <col min="7" max="7" width="7.54296875" style="76" bestFit="1" customWidth="1"/>
    <col min="8" max="8" width="6.1796875" style="76" bestFit="1" customWidth="1"/>
    <col min="9" max="9" width="8.08984375" style="76" bestFit="1" customWidth="1"/>
    <col min="10" max="10" width="16.1796875" style="76" bestFit="1" customWidth="1"/>
    <col min="11" max="13" width="8.6328125" style="76"/>
    <col min="14" max="14" width="23.08984375" style="76" bestFit="1" customWidth="1"/>
    <col min="15" max="15" width="3" style="76" bestFit="1" customWidth="1"/>
    <col min="16" max="16" width="1.6328125" style="76" bestFit="1" customWidth="1"/>
    <col min="17" max="17" width="2.54296875" style="76" bestFit="1" customWidth="1"/>
    <col min="18" max="18" width="2" style="76" bestFit="1" customWidth="1"/>
    <col min="19" max="16384" width="8.6328125" style="76"/>
  </cols>
  <sheetData>
    <row r="1" spans="1:18" x14ac:dyDescent="0.7">
      <c r="A1" s="384" t="s">
        <v>527</v>
      </c>
      <c r="B1" s="385"/>
      <c r="C1" s="385"/>
      <c r="D1" s="385"/>
      <c r="E1" s="385"/>
      <c r="F1" s="385"/>
      <c r="G1" s="385"/>
      <c r="H1" s="385"/>
      <c r="I1" s="385"/>
      <c r="J1" s="386"/>
    </row>
    <row r="2" spans="1:18" s="77" customFormat="1" x14ac:dyDescent="0.35">
      <c r="A2" s="378" t="s">
        <v>2</v>
      </c>
      <c r="B2" s="380" t="s">
        <v>158</v>
      </c>
      <c r="C2" s="380" t="s">
        <v>159</v>
      </c>
      <c r="D2" s="380" t="s">
        <v>160</v>
      </c>
      <c r="E2" s="380" t="s">
        <v>22</v>
      </c>
      <c r="F2" s="380" t="s">
        <v>161</v>
      </c>
      <c r="G2" s="380"/>
      <c r="H2" s="380"/>
      <c r="I2" s="374" t="s">
        <v>5</v>
      </c>
      <c r="J2" s="376" t="s">
        <v>8</v>
      </c>
      <c r="N2" s="77" t="s">
        <v>353</v>
      </c>
    </row>
    <row r="3" spans="1:18" s="77" customFormat="1" x14ac:dyDescent="0.35">
      <c r="A3" s="378"/>
      <c r="B3" s="380"/>
      <c r="C3" s="380"/>
      <c r="D3" s="380"/>
      <c r="E3" s="380"/>
      <c r="F3" s="324" t="s">
        <v>162</v>
      </c>
      <c r="G3" s="324" t="s">
        <v>163</v>
      </c>
      <c r="H3" s="324" t="s">
        <v>164</v>
      </c>
      <c r="I3" s="374"/>
      <c r="J3" s="376"/>
      <c r="N3" s="77" t="s">
        <v>227</v>
      </c>
      <c r="O3" s="77">
        <v>60</v>
      </c>
      <c r="P3" s="77" t="s">
        <v>227</v>
      </c>
      <c r="Q3" s="77" t="s">
        <v>354</v>
      </c>
      <c r="R3" s="77" t="s">
        <v>229</v>
      </c>
    </row>
    <row r="4" spans="1:18" ht="34" x14ac:dyDescent="0.7">
      <c r="A4" s="338">
        <v>1</v>
      </c>
      <c r="B4" s="62" t="s">
        <v>528</v>
      </c>
      <c r="C4" s="79" t="s">
        <v>22</v>
      </c>
      <c r="D4" s="79" t="s">
        <v>223</v>
      </c>
      <c r="E4" s="110">
        <v>8</v>
      </c>
      <c r="F4" s="81"/>
      <c r="G4" s="81"/>
      <c r="H4" s="81"/>
      <c r="I4" s="110">
        <f>E4</f>
        <v>8</v>
      </c>
      <c r="J4" s="80"/>
    </row>
    <row r="5" spans="1:18" ht="34" x14ac:dyDescent="0.7">
      <c r="A5" s="338">
        <v>2</v>
      </c>
      <c r="B5" s="210" t="s">
        <v>529</v>
      </c>
      <c r="C5" s="79" t="s">
        <v>22</v>
      </c>
      <c r="D5" s="79" t="s">
        <v>223</v>
      </c>
      <c r="E5" s="110">
        <v>7</v>
      </c>
      <c r="F5" s="79"/>
      <c r="G5" s="79"/>
      <c r="H5" s="79"/>
      <c r="I5" s="110">
        <f>E5</f>
        <v>7</v>
      </c>
      <c r="J5" s="202"/>
    </row>
    <row r="6" spans="1:18" ht="68" x14ac:dyDescent="0.7">
      <c r="A6" s="338">
        <v>3</v>
      </c>
      <c r="B6" s="62" t="s">
        <v>530</v>
      </c>
      <c r="C6" s="79" t="s">
        <v>22</v>
      </c>
      <c r="D6" s="79" t="s">
        <v>223</v>
      </c>
      <c r="E6" s="110">
        <v>7</v>
      </c>
      <c r="F6" s="162"/>
      <c r="G6" s="162"/>
      <c r="H6" s="162"/>
      <c r="I6" s="110">
        <f t="shared" ref="I6:I13" si="0">E6</f>
        <v>7</v>
      </c>
      <c r="J6" s="80"/>
    </row>
    <row r="7" spans="1:18" x14ac:dyDescent="0.7">
      <c r="A7" s="338">
        <v>4</v>
      </c>
      <c r="B7" s="81" t="s">
        <v>84</v>
      </c>
      <c r="C7" s="133" t="s">
        <v>22</v>
      </c>
      <c r="D7" s="79" t="s">
        <v>223</v>
      </c>
      <c r="E7" s="153">
        <v>15</v>
      </c>
      <c r="F7" s="81"/>
      <c r="G7" s="81"/>
      <c r="H7" s="81"/>
      <c r="I7" s="110">
        <f t="shared" si="0"/>
        <v>15</v>
      </c>
      <c r="J7" s="80"/>
    </row>
    <row r="8" spans="1:18" x14ac:dyDescent="0.7">
      <c r="A8" s="338">
        <v>5</v>
      </c>
      <c r="B8" s="327" t="s">
        <v>85</v>
      </c>
      <c r="C8" s="79" t="s">
        <v>22</v>
      </c>
      <c r="D8" s="79" t="s">
        <v>223</v>
      </c>
      <c r="E8" s="110">
        <v>10</v>
      </c>
      <c r="F8" s="79"/>
      <c r="G8" s="79"/>
      <c r="H8" s="79"/>
      <c r="I8" s="110">
        <f t="shared" si="0"/>
        <v>10</v>
      </c>
      <c r="J8" s="80"/>
    </row>
    <row r="9" spans="1:18" x14ac:dyDescent="0.7">
      <c r="A9" s="338">
        <v>6</v>
      </c>
      <c r="B9" s="327" t="s">
        <v>86</v>
      </c>
      <c r="C9" s="79" t="s">
        <v>22</v>
      </c>
      <c r="D9" s="79" t="s">
        <v>223</v>
      </c>
      <c r="E9" s="110">
        <v>3</v>
      </c>
      <c r="F9" s="79"/>
      <c r="G9" s="79"/>
      <c r="H9" s="79"/>
      <c r="I9" s="110">
        <f t="shared" si="0"/>
        <v>3</v>
      </c>
      <c r="J9" s="80"/>
    </row>
    <row r="10" spans="1:18" x14ac:dyDescent="0.7">
      <c r="A10" s="338">
        <v>7</v>
      </c>
      <c r="B10" s="62" t="s">
        <v>87</v>
      </c>
      <c r="C10" s="79" t="s">
        <v>22</v>
      </c>
      <c r="D10" s="79" t="s">
        <v>223</v>
      </c>
      <c r="E10" s="110">
        <v>3</v>
      </c>
      <c r="F10" s="79"/>
      <c r="G10" s="79"/>
      <c r="H10" s="79"/>
      <c r="I10" s="110">
        <f t="shared" si="0"/>
        <v>3</v>
      </c>
      <c r="J10" s="202"/>
    </row>
    <row r="11" spans="1:18" x14ac:dyDescent="0.7">
      <c r="A11" s="338">
        <v>8</v>
      </c>
      <c r="B11" s="81" t="s">
        <v>88</v>
      </c>
      <c r="C11" s="79" t="s">
        <v>22</v>
      </c>
      <c r="D11" s="79" t="s">
        <v>223</v>
      </c>
      <c r="E11" s="153">
        <v>3</v>
      </c>
      <c r="F11" s="81"/>
      <c r="G11" s="81"/>
      <c r="H11" s="81"/>
      <c r="I11" s="110">
        <f t="shared" si="0"/>
        <v>3</v>
      </c>
      <c r="J11" s="80"/>
    </row>
    <row r="12" spans="1:18" ht="51" x14ac:dyDescent="0.7">
      <c r="A12" s="338">
        <v>9</v>
      </c>
      <c r="B12" s="81" t="s">
        <v>531</v>
      </c>
      <c r="C12" s="133" t="s">
        <v>532</v>
      </c>
      <c r="D12" s="79" t="s">
        <v>223</v>
      </c>
      <c r="E12" s="153">
        <v>50</v>
      </c>
      <c r="F12" s="81"/>
      <c r="G12" s="81"/>
      <c r="H12" s="81"/>
      <c r="I12" s="153">
        <f t="shared" si="0"/>
        <v>50</v>
      </c>
      <c r="J12" s="191" t="s">
        <v>533</v>
      </c>
    </row>
    <row r="13" spans="1:18" ht="51" x14ac:dyDescent="0.7">
      <c r="A13" s="338">
        <v>10</v>
      </c>
      <c r="B13" s="81" t="s">
        <v>534</v>
      </c>
      <c r="C13" s="133" t="s">
        <v>532</v>
      </c>
      <c r="D13" s="79" t="s">
        <v>223</v>
      </c>
      <c r="E13" s="153">
        <v>50</v>
      </c>
      <c r="F13" s="81"/>
      <c r="G13" s="81"/>
      <c r="H13" s="81"/>
      <c r="I13" s="153">
        <f t="shared" si="0"/>
        <v>50</v>
      </c>
      <c r="J13" s="191" t="s">
        <v>533</v>
      </c>
    </row>
    <row r="14" spans="1:18" x14ac:dyDescent="0.7">
      <c r="A14" s="84">
        <v>11</v>
      </c>
      <c r="B14" s="133" t="s">
        <v>535</v>
      </c>
      <c r="C14" s="133" t="s">
        <v>92</v>
      </c>
      <c r="D14" s="79" t="s">
        <v>222</v>
      </c>
      <c r="E14" s="153">
        <v>8</v>
      </c>
      <c r="F14" s="153">
        <v>7</v>
      </c>
      <c r="G14" s="133"/>
      <c r="H14" s="133"/>
      <c r="I14" s="153">
        <f>F14*E14</f>
        <v>56</v>
      </c>
      <c r="J14" s="80"/>
    </row>
    <row r="15" spans="1:18" ht="34" x14ac:dyDescent="0.7">
      <c r="A15" s="287">
        <v>12</v>
      </c>
      <c r="B15" s="211" t="s">
        <v>536</v>
      </c>
      <c r="C15" s="129" t="s">
        <v>94</v>
      </c>
      <c r="D15" s="111" t="s">
        <v>223</v>
      </c>
      <c r="E15" s="111">
        <v>1</v>
      </c>
      <c r="F15" s="212"/>
      <c r="G15" s="212"/>
      <c r="H15" s="212"/>
      <c r="I15" s="111">
        <f>E15</f>
        <v>1</v>
      </c>
      <c r="J15" s="288"/>
    </row>
    <row r="16" spans="1:18" ht="34" x14ac:dyDescent="0.7">
      <c r="A16" s="338">
        <v>13</v>
      </c>
      <c r="B16" s="62" t="s">
        <v>537</v>
      </c>
      <c r="C16" s="133" t="s">
        <v>92</v>
      </c>
      <c r="D16" s="79" t="s">
        <v>222</v>
      </c>
      <c r="E16" s="81">
        <v>110</v>
      </c>
      <c r="F16" s="81"/>
      <c r="G16" s="81"/>
      <c r="H16" s="81"/>
      <c r="I16" s="81">
        <f>E16</f>
        <v>110</v>
      </c>
      <c r="J16" s="80"/>
    </row>
    <row r="17" spans="1:10" ht="34.5" thickBot="1" x14ac:dyDescent="0.75">
      <c r="A17" s="164">
        <v>14</v>
      </c>
      <c r="B17" s="199" t="s">
        <v>538</v>
      </c>
      <c r="C17" s="165" t="s">
        <v>92</v>
      </c>
      <c r="D17" s="165" t="s">
        <v>222</v>
      </c>
      <c r="E17" s="289">
        <v>18</v>
      </c>
      <c r="F17" s="188"/>
      <c r="G17" s="188"/>
      <c r="H17" s="188"/>
      <c r="I17" s="188">
        <f>E17</f>
        <v>18</v>
      </c>
      <c r="J17" s="161"/>
    </row>
  </sheetData>
  <mergeCells count="9">
    <mergeCell ref="A1:J1"/>
    <mergeCell ref="I2:I3"/>
    <mergeCell ref="J2:J3"/>
    <mergeCell ref="A2:A3"/>
    <mergeCell ref="B2:B3"/>
    <mergeCell ref="C2:C3"/>
    <mergeCell ref="D2:D3"/>
    <mergeCell ref="E2:E3"/>
    <mergeCell ref="F2:H2"/>
  </mergeCells>
  <pageMargins left="0.7" right="0.7" top="0.75" bottom="0.75" header="0.3" footer="0.3"/>
  <pageSetup paperSize="9" scale="6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DC9E9-D807-44FA-BADD-22121578484C}">
  <dimension ref="A1:K118"/>
  <sheetViews>
    <sheetView view="pageBreakPreview" topLeftCell="C20" zoomScale="60" zoomScaleNormal="85" workbookViewId="0">
      <selection activeCell="F4" sqref="F4"/>
    </sheetView>
  </sheetViews>
  <sheetFormatPr defaultColWidth="8.90625" defaultRowHeight="17" x14ac:dyDescent="0.7"/>
  <cols>
    <col min="1" max="1" width="6.36328125" style="151" customWidth="1"/>
    <col min="2" max="2" width="33.08984375" style="151" bestFit="1" customWidth="1"/>
    <col min="3" max="3" width="12.54296875" style="151" customWidth="1"/>
    <col min="4" max="5" width="21" style="151" customWidth="1"/>
    <col min="6" max="6" width="8.90625" style="90"/>
    <col min="7" max="7" width="61.36328125" style="151" customWidth="1"/>
    <col min="8" max="8" width="7.6328125" style="151" customWidth="1"/>
    <col min="9" max="9" width="9.54296875" style="151" customWidth="1"/>
    <col min="10" max="10" width="9.6328125" style="151" customWidth="1"/>
    <col min="11" max="16384" width="8.90625" style="151"/>
  </cols>
  <sheetData>
    <row r="1" spans="1:11" s="227" customFormat="1" ht="21" customHeight="1" x14ac:dyDescent="0.7">
      <c r="A1" s="468" t="s">
        <v>539</v>
      </c>
      <c r="B1" s="468"/>
      <c r="C1" s="468"/>
      <c r="D1" s="468"/>
      <c r="E1" s="242"/>
      <c r="F1" s="77"/>
    </row>
    <row r="2" spans="1:11" s="227" customFormat="1" ht="21" customHeight="1" x14ac:dyDescent="0.7">
      <c r="A2" s="344" t="s">
        <v>540</v>
      </c>
      <c r="B2" s="344" t="s">
        <v>541</v>
      </c>
      <c r="C2" s="344"/>
      <c r="D2" s="344"/>
      <c r="E2" s="242"/>
      <c r="F2" s="77"/>
    </row>
    <row r="3" spans="1:11" s="227" customFormat="1" ht="21" customHeight="1" thickBot="1" x14ac:dyDescent="0.75">
      <c r="A3" s="243">
        <v>1</v>
      </c>
      <c r="B3" s="243" t="s">
        <v>542</v>
      </c>
      <c r="C3" s="243" t="s">
        <v>22</v>
      </c>
      <c r="D3" s="243" t="s">
        <v>543</v>
      </c>
      <c r="E3" s="244"/>
      <c r="F3" s="469" t="s">
        <v>544</v>
      </c>
      <c r="G3" s="469"/>
      <c r="H3" s="469"/>
      <c r="I3" s="469"/>
      <c r="J3" s="469"/>
      <c r="K3" s="469"/>
    </row>
    <row r="4" spans="1:11" ht="25.9" customHeight="1" x14ac:dyDescent="0.7">
      <c r="A4" s="133">
        <v>1</v>
      </c>
      <c r="B4" s="330" t="s">
        <v>545</v>
      </c>
      <c r="C4" s="153">
        <v>3</v>
      </c>
      <c r="D4" s="133"/>
      <c r="E4" s="290"/>
      <c r="F4" s="293" t="s">
        <v>446</v>
      </c>
      <c r="G4" s="294" t="s">
        <v>541</v>
      </c>
      <c r="H4" s="295" t="s">
        <v>546</v>
      </c>
      <c r="I4" s="296" t="s">
        <v>547</v>
      </c>
      <c r="J4" s="297" t="s">
        <v>548</v>
      </c>
      <c r="K4" s="298" t="s">
        <v>543</v>
      </c>
    </row>
    <row r="5" spans="1:11" x14ac:dyDescent="0.7">
      <c r="A5" s="133">
        <v>2</v>
      </c>
      <c r="B5" s="330" t="s">
        <v>549</v>
      </c>
      <c r="C5" s="153">
        <v>1</v>
      </c>
      <c r="D5" s="133"/>
      <c r="E5" s="290"/>
      <c r="F5" s="338">
        <v>1</v>
      </c>
      <c r="G5" s="245" t="s">
        <v>545</v>
      </c>
      <c r="H5" s="79" t="s">
        <v>81</v>
      </c>
      <c r="I5" s="246">
        <f>SUMIF(B4:B117,G5,C4:C117)</f>
        <v>38</v>
      </c>
      <c r="J5" s="221">
        <f>I5*100%</f>
        <v>38</v>
      </c>
      <c r="K5" s="83"/>
    </row>
    <row r="6" spans="1:11" x14ac:dyDescent="0.7">
      <c r="A6" s="133">
        <v>5</v>
      </c>
      <c r="B6" s="330" t="s">
        <v>550</v>
      </c>
      <c r="C6" s="153">
        <v>3</v>
      </c>
      <c r="D6" s="133"/>
      <c r="E6" s="290"/>
      <c r="F6" s="338">
        <v>2</v>
      </c>
      <c r="G6" s="159" t="s">
        <v>551</v>
      </c>
      <c r="H6" s="79" t="s">
        <v>81</v>
      </c>
      <c r="I6" s="246">
        <f>SUMIF(B4:B117,B5,C4:C117)</f>
        <v>5</v>
      </c>
      <c r="J6" s="221">
        <f>I6*100%</f>
        <v>5</v>
      </c>
      <c r="K6" s="83"/>
    </row>
    <row r="7" spans="1:11" x14ac:dyDescent="0.7">
      <c r="A7" s="133">
        <v>6</v>
      </c>
      <c r="B7" s="330" t="s">
        <v>552</v>
      </c>
      <c r="C7" s="153">
        <v>4</v>
      </c>
      <c r="D7" s="133"/>
      <c r="E7" s="290"/>
      <c r="F7" s="338">
        <v>3</v>
      </c>
      <c r="G7" s="159" t="s">
        <v>553</v>
      </c>
      <c r="H7" s="79" t="s">
        <v>81</v>
      </c>
      <c r="I7" s="246">
        <f>SUMIF(B4:B117,G7,C4:C117)</f>
        <v>14</v>
      </c>
      <c r="J7" s="221">
        <f>I7*100%</f>
        <v>14</v>
      </c>
      <c r="K7" s="83"/>
    </row>
    <row r="8" spans="1:11" x14ac:dyDescent="0.7">
      <c r="A8" s="133">
        <v>7</v>
      </c>
      <c r="B8" s="330" t="s">
        <v>554</v>
      </c>
      <c r="C8" s="153">
        <v>6</v>
      </c>
      <c r="D8" s="133"/>
      <c r="E8" s="290"/>
      <c r="F8" s="338">
        <v>4</v>
      </c>
      <c r="G8" s="327" t="s">
        <v>555</v>
      </c>
      <c r="H8" s="79" t="s">
        <v>81</v>
      </c>
      <c r="I8" s="246">
        <f>SUMIF(B4:B117,G8,C4:C117)</f>
        <v>7</v>
      </c>
      <c r="J8" s="221">
        <f>I8*100%</f>
        <v>7</v>
      </c>
      <c r="K8" s="83"/>
    </row>
    <row r="9" spans="1:11" x14ac:dyDescent="0.7">
      <c r="A9" s="133">
        <v>8</v>
      </c>
      <c r="B9" s="330" t="s">
        <v>556</v>
      </c>
      <c r="C9" s="153">
        <v>6</v>
      </c>
      <c r="D9" s="133"/>
      <c r="E9" s="290"/>
      <c r="F9" s="338">
        <v>5</v>
      </c>
      <c r="G9" s="330" t="s">
        <v>557</v>
      </c>
      <c r="H9" s="79" t="s">
        <v>81</v>
      </c>
      <c r="I9" s="246">
        <f t="shared" ref="I9:I14" si="0">SUMIF(B4:B117,G9,C4:C117)</f>
        <v>8</v>
      </c>
      <c r="J9" s="221">
        <f>ROUND(I9*40%,0)</f>
        <v>3</v>
      </c>
      <c r="K9" s="83"/>
    </row>
    <row r="10" spans="1:11" x14ac:dyDescent="0.7">
      <c r="A10" s="133">
        <v>9</v>
      </c>
      <c r="B10" s="330" t="s">
        <v>558</v>
      </c>
      <c r="C10" s="153">
        <v>2</v>
      </c>
      <c r="D10" s="133"/>
      <c r="E10" s="290"/>
      <c r="F10" s="338">
        <v>6</v>
      </c>
      <c r="G10" s="159" t="s">
        <v>559</v>
      </c>
      <c r="H10" s="79" t="s">
        <v>81</v>
      </c>
      <c r="I10" s="246">
        <f t="shared" si="0"/>
        <v>0</v>
      </c>
      <c r="J10" s="221">
        <f>I10*40%</f>
        <v>0</v>
      </c>
      <c r="K10" s="83"/>
    </row>
    <row r="11" spans="1:11" x14ac:dyDescent="0.7">
      <c r="A11" s="247">
        <v>10</v>
      </c>
      <c r="B11" s="330" t="s">
        <v>560</v>
      </c>
      <c r="C11" s="153">
        <v>6</v>
      </c>
      <c r="D11" s="133"/>
      <c r="E11" s="290"/>
      <c r="F11" s="338">
        <v>7</v>
      </c>
      <c r="G11" s="159" t="s">
        <v>550</v>
      </c>
      <c r="H11" s="79" t="s">
        <v>81</v>
      </c>
      <c r="I11" s="246">
        <f t="shared" si="0"/>
        <v>14</v>
      </c>
      <c r="J11" s="221">
        <f>ROUND(I11*40%,0)</f>
        <v>6</v>
      </c>
      <c r="K11" s="83"/>
    </row>
    <row r="12" spans="1:11" x14ac:dyDescent="0.7">
      <c r="A12" s="133">
        <v>11</v>
      </c>
      <c r="B12" s="330" t="s">
        <v>561</v>
      </c>
      <c r="C12" s="153">
        <v>1</v>
      </c>
      <c r="D12" s="133"/>
      <c r="E12" s="290"/>
      <c r="F12" s="338">
        <v>8</v>
      </c>
      <c r="G12" s="159" t="s">
        <v>552</v>
      </c>
      <c r="H12" s="79" t="s">
        <v>81</v>
      </c>
      <c r="I12" s="246">
        <f t="shared" si="0"/>
        <v>12</v>
      </c>
      <c r="J12" s="221">
        <f>ROUND(I12*40%,0)</f>
        <v>5</v>
      </c>
      <c r="K12" s="83"/>
    </row>
    <row r="13" spans="1:11" x14ac:dyDescent="0.7">
      <c r="A13" s="133">
        <v>12</v>
      </c>
      <c r="B13" s="330" t="s">
        <v>562</v>
      </c>
      <c r="C13" s="153">
        <v>1</v>
      </c>
      <c r="D13" s="133"/>
      <c r="E13" s="290"/>
      <c r="F13" s="338">
        <v>9</v>
      </c>
      <c r="G13" s="159" t="s">
        <v>554</v>
      </c>
      <c r="H13" s="79" t="s">
        <v>81</v>
      </c>
      <c r="I13" s="246">
        <f t="shared" si="0"/>
        <v>39</v>
      </c>
      <c r="J13" s="221">
        <f>ROUND(I13*40%,0)</f>
        <v>16</v>
      </c>
      <c r="K13" s="83"/>
    </row>
    <row r="14" spans="1:11" x14ac:dyDescent="0.7">
      <c r="A14" s="133">
        <v>13</v>
      </c>
      <c r="B14" s="330" t="s">
        <v>563</v>
      </c>
      <c r="C14" s="153">
        <v>2</v>
      </c>
      <c r="D14" s="133"/>
      <c r="E14" s="290"/>
      <c r="F14" s="338">
        <v>10</v>
      </c>
      <c r="G14" s="159" t="s">
        <v>556</v>
      </c>
      <c r="H14" s="79" t="s">
        <v>81</v>
      </c>
      <c r="I14" s="110">
        <f t="shared" si="0"/>
        <v>13</v>
      </c>
      <c r="J14" s="221">
        <f>ROUND(I14*40%,0)</f>
        <v>5</v>
      </c>
      <c r="K14" s="83"/>
    </row>
    <row r="15" spans="1:11" x14ac:dyDescent="0.7">
      <c r="A15" s="243">
        <v>2</v>
      </c>
      <c r="B15" s="243" t="s">
        <v>564</v>
      </c>
      <c r="C15" s="243" t="s">
        <v>22</v>
      </c>
      <c r="D15" s="243" t="s">
        <v>543</v>
      </c>
      <c r="E15" s="291"/>
      <c r="F15" s="338">
        <v>11</v>
      </c>
      <c r="G15" s="159" t="s">
        <v>558</v>
      </c>
      <c r="H15" s="79" t="s">
        <v>81</v>
      </c>
      <c r="I15" s="110">
        <f>SUMIF(B9:B122,G15,C9:C122)</f>
        <v>26</v>
      </c>
      <c r="J15" s="221">
        <f>ROUND(I15*40%,0)</f>
        <v>10</v>
      </c>
      <c r="K15" s="83"/>
    </row>
    <row r="16" spans="1:11" x14ac:dyDescent="0.7">
      <c r="A16" s="133">
        <v>1</v>
      </c>
      <c r="B16" s="330" t="s">
        <v>565</v>
      </c>
      <c r="C16" s="153">
        <v>2</v>
      </c>
      <c r="D16" s="133"/>
      <c r="E16" s="290"/>
      <c r="F16" s="338">
        <v>12</v>
      </c>
      <c r="G16" s="159" t="s">
        <v>560</v>
      </c>
      <c r="H16" s="79" t="s">
        <v>81</v>
      </c>
      <c r="I16" s="110">
        <f>SUMIF(B10:B123,G16,C10:C123)</f>
        <v>40</v>
      </c>
      <c r="J16" s="221">
        <f>I16*40%</f>
        <v>16</v>
      </c>
      <c r="K16" s="83"/>
    </row>
    <row r="17" spans="1:11" x14ac:dyDescent="0.7">
      <c r="A17" s="133">
        <v>2</v>
      </c>
      <c r="B17" s="330" t="s">
        <v>557</v>
      </c>
      <c r="C17" s="153">
        <v>1</v>
      </c>
      <c r="D17" s="133"/>
      <c r="E17" s="290"/>
      <c r="F17" s="338">
        <v>13</v>
      </c>
      <c r="G17" s="159" t="s">
        <v>561</v>
      </c>
      <c r="H17" s="79" t="s">
        <v>81</v>
      </c>
      <c r="I17" s="110">
        <f>SUMIF(B11:B124,G17,C11:C124)</f>
        <v>10</v>
      </c>
      <c r="J17" s="221">
        <f>I17*100%</f>
        <v>10</v>
      </c>
      <c r="K17" s="83"/>
    </row>
    <row r="18" spans="1:11" x14ac:dyDescent="0.7">
      <c r="A18" s="133">
        <v>3</v>
      </c>
      <c r="B18" s="330" t="s">
        <v>566</v>
      </c>
      <c r="C18" s="153">
        <v>1</v>
      </c>
      <c r="D18" s="133"/>
      <c r="E18" s="290"/>
      <c r="F18" s="338">
        <v>14</v>
      </c>
      <c r="G18" s="159" t="s">
        <v>562</v>
      </c>
      <c r="H18" s="79" t="s">
        <v>81</v>
      </c>
      <c r="I18" s="110">
        <f>SUMIF(B12:B125,G18,C12:C125)</f>
        <v>8</v>
      </c>
      <c r="J18" s="221">
        <f t="shared" ref="J18:J32" si="1">I18*100%</f>
        <v>8</v>
      </c>
      <c r="K18" s="83"/>
    </row>
    <row r="19" spans="1:11" x14ac:dyDescent="0.7">
      <c r="A19" s="133">
        <v>4</v>
      </c>
      <c r="B19" s="330" t="s">
        <v>545</v>
      </c>
      <c r="C19" s="153">
        <v>1</v>
      </c>
      <c r="D19" s="133"/>
      <c r="E19" s="290"/>
      <c r="F19" s="338">
        <v>15</v>
      </c>
      <c r="G19" s="159" t="s">
        <v>565</v>
      </c>
      <c r="H19" s="79" t="s">
        <v>81</v>
      </c>
      <c r="I19" s="110">
        <f>SUMIF(B13:B126,G19,C13:C126)</f>
        <v>2</v>
      </c>
      <c r="J19" s="221">
        <f t="shared" si="1"/>
        <v>2</v>
      </c>
      <c r="K19" s="83"/>
    </row>
    <row r="20" spans="1:11" x14ac:dyDescent="0.7">
      <c r="A20" s="133">
        <v>5</v>
      </c>
      <c r="B20" s="330" t="s">
        <v>554</v>
      </c>
      <c r="C20" s="153">
        <v>3</v>
      </c>
      <c r="D20" s="133"/>
      <c r="E20" s="290"/>
      <c r="F20" s="338">
        <v>16</v>
      </c>
      <c r="G20" s="339" t="s">
        <v>567</v>
      </c>
      <c r="H20" s="79" t="s">
        <v>81</v>
      </c>
      <c r="I20" s="239">
        <f t="shared" ref="I20:I28" si="2">SUMIF(B15:B127,G20,C15:C127)</f>
        <v>3</v>
      </c>
      <c r="J20" s="221">
        <f t="shared" si="1"/>
        <v>3</v>
      </c>
      <c r="K20" s="83"/>
    </row>
    <row r="21" spans="1:11" ht="27.65" customHeight="1" x14ac:dyDescent="0.7">
      <c r="A21" s="133">
        <v>6</v>
      </c>
      <c r="B21" s="330" t="s">
        <v>568</v>
      </c>
      <c r="C21" s="153">
        <v>3</v>
      </c>
      <c r="D21" s="133"/>
      <c r="E21" s="290"/>
      <c r="F21" s="338">
        <v>17</v>
      </c>
      <c r="G21" s="159" t="s">
        <v>569</v>
      </c>
      <c r="H21" s="79" t="s">
        <v>81</v>
      </c>
      <c r="I21" s="239">
        <f t="shared" si="2"/>
        <v>0</v>
      </c>
      <c r="J21" s="221">
        <f t="shared" si="1"/>
        <v>0</v>
      </c>
      <c r="K21" s="83"/>
    </row>
    <row r="22" spans="1:11" x14ac:dyDescent="0.7">
      <c r="A22" s="133">
        <v>7</v>
      </c>
      <c r="B22" s="330" t="s">
        <v>560</v>
      </c>
      <c r="C22" s="153">
        <v>2</v>
      </c>
      <c r="D22" s="133"/>
      <c r="E22" s="290"/>
      <c r="F22" s="338">
        <v>18</v>
      </c>
      <c r="G22" s="159" t="s">
        <v>570</v>
      </c>
      <c r="H22" s="79" t="s">
        <v>81</v>
      </c>
      <c r="I22" s="239">
        <f t="shared" si="2"/>
        <v>0</v>
      </c>
      <c r="J22" s="221">
        <f t="shared" si="1"/>
        <v>0</v>
      </c>
      <c r="K22" s="83"/>
    </row>
    <row r="23" spans="1:11" ht="21.65" customHeight="1" x14ac:dyDescent="0.7">
      <c r="A23" s="133">
        <v>8</v>
      </c>
      <c r="B23" s="330" t="s">
        <v>571</v>
      </c>
      <c r="C23" s="153">
        <v>1</v>
      </c>
      <c r="D23" s="133"/>
      <c r="E23" s="290"/>
      <c r="F23" s="338">
        <v>19</v>
      </c>
      <c r="G23" s="159" t="s">
        <v>572</v>
      </c>
      <c r="H23" s="79" t="s">
        <v>81</v>
      </c>
      <c r="I23" s="239">
        <f t="shared" si="2"/>
        <v>0</v>
      </c>
      <c r="J23" s="221">
        <f t="shared" si="1"/>
        <v>0</v>
      </c>
      <c r="K23" s="83"/>
    </row>
    <row r="24" spans="1:11" x14ac:dyDescent="0.7">
      <c r="A24" s="133">
        <v>9</v>
      </c>
      <c r="B24" s="330" t="s">
        <v>563</v>
      </c>
      <c r="C24" s="153">
        <v>3</v>
      </c>
      <c r="D24" s="133"/>
      <c r="E24" s="290"/>
      <c r="F24" s="338">
        <v>20</v>
      </c>
      <c r="G24" s="159" t="s">
        <v>573</v>
      </c>
      <c r="H24" s="79" t="s">
        <v>81</v>
      </c>
      <c r="I24" s="239">
        <f t="shared" si="2"/>
        <v>1</v>
      </c>
      <c r="J24" s="221">
        <f>I24*0%</f>
        <v>0</v>
      </c>
      <c r="K24" s="83"/>
    </row>
    <row r="25" spans="1:11" x14ac:dyDescent="0.7">
      <c r="A25" s="243">
        <v>3</v>
      </c>
      <c r="B25" s="243" t="s">
        <v>574</v>
      </c>
      <c r="C25" s="243" t="s">
        <v>22</v>
      </c>
      <c r="D25" s="243" t="s">
        <v>543</v>
      </c>
      <c r="E25" s="291"/>
      <c r="F25" s="338">
        <v>21</v>
      </c>
      <c r="G25" s="159" t="s">
        <v>566</v>
      </c>
      <c r="H25" s="79" t="s">
        <v>81</v>
      </c>
      <c r="I25" s="239">
        <f t="shared" si="2"/>
        <v>6</v>
      </c>
      <c r="J25" s="221">
        <f t="shared" si="1"/>
        <v>6</v>
      </c>
      <c r="K25" s="83"/>
    </row>
    <row r="26" spans="1:11" x14ac:dyDescent="0.7">
      <c r="A26" s="133">
        <v>1</v>
      </c>
      <c r="B26" s="159" t="s">
        <v>557</v>
      </c>
      <c r="C26" s="110">
        <v>2</v>
      </c>
      <c r="D26" s="79"/>
      <c r="E26" s="292"/>
      <c r="F26" s="338">
        <v>22</v>
      </c>
      <c r="G26" s="159" t="s">
        <v>575</v>
      </c>
      <c r="H26" s="79" t="s">
        <v>92</v>
      </c>
      <c r="I26" s="239">
        <f t="shared" si="2"/>
        <v>33</v>
      </c>
      <c r="J26" s="221">
        <f t="shared" si="1"/>
        <v>33</v>
      </c>
      <c r="K26" s="83"/>
    </row>
    <row r="27" spans="1:11" x14ac:dyDescent="0.7">
      <c r="A27" s="133">
        <v>2</v>
      </c>
      <c r="B27" s="330" t="s">
        <v>549</v>
      </c>
      <c r="C27" s="110">
        <v>2</v>
      </c>
      <c r="D27" s="79"/>
      <c r="E27" s="292"/>
      <c r="F27" s="338">
        <v>23</v>
      </c>
      <c r="G27" s="339" t="s">
        <v>576</v>
      </c>
      <c r="H27" s="133" t="s">
        <v>81</v>
      </c>
      <c r="I27" s="239">
        <f t="shared" si="2"/>
        <v>4</v>
      </c>
      <c r="J27" s="221">
        <f t="shared" si="1"/>
        <v>4</v>
      </c>
      <c r="K27" s="83"/>
    </row>
    <row r="28" spans="1:11" x14ac:dyDescent="0.7">
      <c r="A28" s="133">
        <v>3</v>
      </c>
      <c r="B28" s="159" t="s">
        <v>545</v>
      </c>
      <c r="C28" s="110">
        <v>13</v>
      </c>
      <c r="D28" s="79"/>
      <c r="E28" s="248"/>
      <c r="F28" s="338">
        <v>24</v>
      </c>
      <c r="G28" s="339" t="s">
        <v>577</v>
      </c>
      <c r="H28" s="133" t="s">
        <v>81</v>
      </c>
      <c r="I28" s="239">
        <f t="shared" si="2"/>
        <v>7</v>
      </c>
      <c r="J28" s="221">
        <f t="shared" si="1"/>
        <v>7</v>
      </c>
      <c r="K28" s="83"/>
    </row>
    <row r="29" spans="1:11" x14ac:dyDescent="0.7">
      <c r="A29" s="133">
        <v>4</v>
      </c>
      <c r="B29" s="159" t="s">
        <v>578</v>
      </c>
      <c r="C29" s="110">
        <v>5</v>
      </c>
      <c r="D29" s="79"/>
      <c r="E29" s="248"/>
      <c r="F29" s="338">
        <v>25</v>
      </c>
      <c r="G29" s="339" t="s">
        <v>579</v>
      </c>
      <c r="H29" s="133" t="s">
        <v>81</v>
      </c>
      <c r="I29" s="239">
        <v>3</v>
      </c>
      <c r="J29" s="221">
        <f t="shared" si="1"/>
        <v>3</v>
      </c>
      <c r="K29" s="83"/>
    </row>
    <row r="30" spans="1:11" x14ac:dyDescent="0.7">
      <c r="A30" s="133">
        <v>5</v>
      </c>
      <c r="B30" s="159" t="s">
        <v>550</v>
      </c>
      <c r="C30" s="110">
        <v>1</v>
      </c>
      <c r="D30" s="79"/>
      <c r="E30" s="248"/>
      <c r="F30" s="338">
        <v>26</v>
      </c>
      <c r="G30" s="330" t="s">
        <v>580</v>
      </c>
      <c r="H30" s="133" t="s">
        <v>81</v>
      </c>
      <c r="I30" s="153">
        <v>4</v>
      </c>
      <c r="J30" s="221">
        <f t="shared" si="1"/>
        <v>4</v>
      </c>
      <c r="K30" s="83"/>
    </row>
    <row r="31" spans="1:11" ht="34" x14ac:dyDescent="0.7">
      <c r="A31" s="133">
        <v>6</v>
      </c>
      <c r="B31" s="159" t="s">
        <v>552</v>
      </c>
      <c r="C31" s="110">
        <v>1</v>
      </c>
      <c r="D31" s="79"/>
      <c r="E31" s="248"/>
      <c r="F31" s="338">
        <v>27</v>
      </c>
      <c r="G31" s="249" t="s">
        <v>581</v>
      </c>
      <c r="H31" s="133" t="s">
        <v>92</v>
      </c>
      <c r="I31" s="153">
        <v>30</v>
      </c>
      <c r="J31" s="221">
        <f t="shared" si="1"/>
        <v>30</v>
      </c>
      <c r="K31" s="83"/>
    </row>
    <row r="32" spans="1:11" ht="17.5" thickBot="1" x14ac:dyDescent="0.75">
      <c r="A32" s="133">
        <v>7</v>
      </c>
      <c r="B32" s="330" t="s">
        <v>563</v>
      </c>
      <c r="C32" s="110">
        <v>4</v>
      </c>
      <c r="D32" s="79"/>
      <c r="E32" s="248"/>
      <c r="F32" s="164">
        <v>28</v>
      </c>
      <c r="G32" s="299" t="s">
        <v>582</v>
      </c>
      <c r="H32" s="189" t="s">
        <v>92</v>
      </c>
      <c r="I32" s="189">
        <v>30</v>
      </c>
      <c r="J32" s="189">
        <f t="shared" si="1"/>
        <v>30</v>
      </c>
      <c r="K32" s="259"/>
    </row>
    <row r="33" spans="1:5" s="90" customFormat="1" x14ac:dyDescent="0.7">
      <c r="A33" s="133">
        <v>8</v>
      </c>
      <c r="B33" s="159" t="s">
        <v>560</v>
      </c>
      <c r="C33" s="110">
        <v>13</v>
      </c>
      <c r="D33" s="79"/>
      <c r="E33" s="248"/>
    </row>
    <row r="34" spans="1:5" s="90" customFormat="1" x14ac:dyDescent="0.7">
      <c r="A34" s="133">
        <v>9</v>
      </c>
      <c r="B34" s="159" t="s">
        <v>558</v>
      </c>
      <c r="C34" s="110">
        <v>2</v>
      </c>
      <c r="D34" s="79"/>
      <c r="E34" s="248"/>
    </row>
    <row r="35" spans="1:5" s="90" customFormat="1" x14ac:dyDescent="0.7">
      <c r="A35" s="247">
        <v>10</v>
      </c>
      <c r="B35" s="159" t="s">
        <v>554</v>
      </c>
      <c r="C35" s="110">
        <v>3</v>
      </c>
      <c r="D35" s="79"/>
      <c r="E35" s="248"/>
    </row>
    <row r="36" spans="1:5" s="90" customFormat="1" x14ac:dyDescent="0.7">
      <c r="A36" s="133">
        <v>11</v>
      </c>
      <c r="B36" s="159" t="s">
        <v>556</v>
      </c>
      <c r="C36" s="110">
        <v>2</v>
      </c>
      <c r="D36" s="79"/>
      <c r="E36" s="248"/>
    </row>
    <row r="37" spans="1:5" s="90" customFormat="1" x14ac:dyDescent="0.7">
      <c r="A37" s="133">
        <v>12</v>
      </c>
      <c r="B37" s="159" t="s">
        <v>561</v>
      </c>
      <c r="C37" s="110">
        <v>4</v>
      </c>
      <c r="D37" s="79"/>
      <c r="E37" s="248"/>
    </row>
    <row r="38" spans="1:5" s="90" customFormat="1" x14ac:dyDescent="0.7">
      <c r="A38" s="133">
        <v>13</v>
      </c>
      <c r="B38" s="159" t="s">
        <v>562</v>
      </c>
      <c r="C38" s="110">
        <v>2</v>
      </c>
      <c r="D38" s="79"/>
      <c r="E38" s="248"/>
    </row>
    <row r="39" spans="1:5" s="90" customFormat="1" x14ac:dyDescent="0.7">
      <c r="A39" s="133">
        <v>14</v>
      </c>
      <c r="B39" s="327" t="s">
        <v>555</v>
      </c>
      <c r="C39" s="110">
        <v>4</v>
      </c>
      <c r="D39" s="79"/>
      <c r="E39" s="248"/>
    </row>
    <row r="40" spans="1:5" s="90" customFormat="1" x14ac:dyDescent="0.7">
      <c r="A40" s="133">
        <v>15</v>
      </c>
      <c r="B40" s="339" t="s">
        <v>575</v>
      </c>
      <c r="C40" s="110">
        <v>18</v>
      </c>
      <c r="D40" s="79"/>
      <c r="E40" s="248"/>
    </row>
    <row r="41" spans="1:5" s="90" customFormat="1" x14ac:dyDescent="0.7">
      <c r="A41" s="133">
        <v>16</v>
      </c>
      <c r="B41" s="339" t="s">
        <v>576</v>
      </c>
      <c r="C41" s="110">
        <v>3</v>
      </c>
      <c r="D41" s="79"/>
      <c r="E41" s="248"/>
    </row>
    <row r="42" spans="1:5" s="90" customFormat="1" x14ac:dyDescent="0.7">
      <c r="A42" s="133">
        <v>17</v>
      </c>
      <c r="B42" s="339" t="s">
        <v>577</v>
      </c>
      <c r="C42" s="110">
        <v>3</v>
      </c>
      <c r="D42" s="79"/>
      <c r="E42" s="248"/>
    </row>
    <row r="43" spans="1:5" s="90" customFormat="1" x14ac:dyDescent="0.35">
      <c r="A43" s="243">
        <v>4</v>
      </c>
      <c r="B43" s="243" t="s">
        <v>583</v>
      </c>
      <c r="C43" s="243" t="s">
        <v>22</v>
      </c>
      <c r="D43" s="243" t="s">
        <v>543</v>
      </c>
      <c r="E43" s="244"/>
    </row>
    <row r="44" spans="1:5" s="90" customFormat="1" x14ac:dyDescent="0.7">
      <c r="A44" s="133">
        <v>1</v>
      </c>
      <c r="B44" s="330" t="s">
        <v>545</v>
      </c>
      <c r="C44" s="153">
        <v>6</v>
      </c>
      <c r="D44" s="133"/>
      <c r="E44" s="250"/>
    </row>
    <row r="45" spans="1:5" s="90" customFormat="1" x14ac:dyDescent="0.7">
      <c r="A45" s="133">
        <v>2</v>
      </c>
      <c r="B45" s="330" t="s">
        <v>566</v>
      </c>
      <c r="C45" s="153">
        <v>2</v>
      </c>
      <c r="D45" s="133"/>
      <c r="E45" s="250"/>
    </row>
    <row r="46" spans="1:5" s="90" customFormat="1" x14ac:dyDescent="0.7">
      <c r="A46" s="133">
        <v>3</v>
      </c>
      <c r="B46" s="330" t="s">
        <v>557</v>
      </c>
      <c r="C46" s="153">
        <v>1</v>
      </c>
      <c r="D46" s="133"/>
      <c r="E46" s="250"/>
    </row>
    <row r="47" spans="1:5" s="90" customFormat="1" x14ac:dyDescent="0.7">
      <c r="A47" s="133">
        <v>4</v>
      </c>
      <c r="B47" s="330" t="s">
        <v>568</v>
      </c>
      <c r="C47" s="153">
        <v>1</v>
      </c>
      <c r="D47" s="133"/>
      <c r="E47" s="250"/>
    </row>
    <row r="48" spans="1:5" s="90" customFormat="1" x14ac:dyDescent="0.7">
      <c r="A48" s="133">
        <v>5</v>
      </c>
      <c r="B48" s="330" t="s">
        <v>554</v>
      </c>
      <c r="C48" s="153">
        <v>1</v>
      </c>
      <c r="D48" s="133"/>
      <c r="E48" s="250"/>
    </row>
    <row r="49" spans="1:5" s="90" customFormat="1" x14ac:dyDescent="0.7">
      <c r="A49" s="133">
        <v>6</v>
      </c>
      <c r="B49" s="330" t="s">
        <v>560</v>
      </c>
      <c r="C49" s="153">
        <v>4</v>
      </c>
      <c r="D49" s="133"/>
      <c r="E49" s="250"/>
    </row>
    <row r="50" spans="1:5" s="90" customFormat="1" x14ac:dyDescent="0.7">
      <c r="A50" s="133">
        <v>7</v>
      </c>
      <c r="B50" s="330" t="s">
        <v>558</v>
      </c>
      <c r="C50" s="153">
        <v>2</v>
      </c>
      <c r="D50" s="133"/>
      <c r="E50" s="250"/>
    </row>
    <row r="51" spans="1:5" s="90" customFormat="1" x14ac:dyDescent="0.7">
      <c r="A51" s="133">
        <v>8</v>
      </c>
      <c r="B51" s="330" t="s">
        <v>562</v>
      </c>
      <c r="C51" s="153">
        <v>1</v>
      </c>
      <c r="D51" s="133"/>
      <c r="E51" s="250"/>
    </row>
    <row r="52" spans="1:5" s="90" customFormat="1" x14ac:dyDescent="0.7">
      <c r="A52" s="133">
        <v>9</v>
      </c>
      <c r="B52" s="339" t="s">
        <v>575</v>
      </c>
      <c r="C52" s="153">
        <v>10</v>
      </c>
      <c r="D52" s="133"/>
      <c r="E52" s="250"/>
    </row>
    <row r="53" spans="1:5" s="90" customFormat="1" x14ac:dyDescent="0.7">
      <c r="A53" s="133">
        <v>10</v>
      </c>
      <c r="B53" s="339" t="s">
        <v>576</v>
      </c>
      <c r="C53" s="153">
        <v>1</v>
      </c>
      <c r="D53" s="133"/>
      <c r="E53" s="250"/>
    </row>
    <row r="54" spans="1:5" s="90" customFormat="1" x14ac:dyDescent="0.7">
      <c r="A54" s="133">
        <v>11</v>
      </c>
      <c r="B54" s="339" t="s">
        <v>577</v>
      </c>
      <c r="C54" s="153">
        <v>2</v>
      </c>
      <c r="D54" s="133"/>
      <c r="E54" s="250"/>
    </row>
    <row r="55" spans="1:5" s="90" customFormat="1" x14ac:dyDescent="0.35">
      <c r="A55" s="243">
        <v>5</v>
      </c>
      <c r="B55" s="243" t="s">
        <v>584</v>
      </c>
      <c r="C55" s="243" t="s">
        <v>22</v>
      </c>
      <c r="D55" s="243" t="s">
        <v>543</v>
      </c>
      <c r="E55" s="244"/>
    </row>
    <row r="56" spans="1:5" s="90" customFormat="1" x14ac:dyDescent="0.7">
      <c r="A56" s="133">
        <v>1</v>
      </c>
      <c r="B56" s="330" t="s">
        <v>585</v>
      </c>
      <c r="C56" s="153">
        <v>3</v>
      </c>
      <c r="D56" s="133"/>
      <c r="E56" s="250"/>
    </row>
    <row r="57" spans="1:5" s="90" customFormat="1" x14ac:dyDescent="0.7">
      <c r="A57" s="133">
        <f t="shared" ref="A57:A67" si="3">A56+1</f>
        <v>2</v>
      </c>
      <c r="B57" s="330" t="s">
        <v>557</v>
      </c>
      <c r="C57" s="153">
        <v>1</v>
      </c>
      <c r="D57" s="133"/>
      <c r="E57" s="250"/>
    </row>
    <row r="58" spans="1:5" s="90" customFormat="1" x14ac:dyDescent="0.7">
      <c r="A58" s="133">
        <f t="shared" si="3"/>
        <v>3</v>
      </c>
      <c r="B58" s="330" t="s">
        <v>550</v>
      </c>
      <c r="C58" s="153">
        <v>3</v>
      </c>
      <c r="D58" s="133"/>
      <c r="E58" s="250"/>
    </row>
    <row r="59" spans="1:5" s="90" customFormat="1" x14ac:dyDescent="0.7">
      <c r="A59" s="133">
        <f t="shared" si="3"/>
        <v>4</v>
      </c>
      <c r="B59" s="330" t="s">
        <v>566</v>
      </c>
      <c r="C59" s="153">
        <v>2</v>
      </c>
      <c r="D59" s="133"/>
      <c r="E59" s="250"/>
    </row>
    <row r="60" spans="1:5" s="90" customFormat="1" x14ac:dyDescent="0.7">
      <c r="A60" s="133">
        <f t="shared" si="3"/>
        <v>5</v>
      </c>
      <c r="B60" s="330" t="s">
        <v>549</v>
      </c>
      <c r="C60" s="153">
        <v>1</v>
      </c>
      <c r="D60" s="133"/>
      <c r="E60" s="250"/>
    </row>
    <row r="61" spans="1:5" s="90" customFormat="1" x14ac:dyDescent="0.7">
      <c r="A61" s="133">
        <f t="shared" si="3"/>
        <v>6</v>
      </c>
      <c r="B61" s="330" t="s">
        <v>560</v>
      </c>
      <c r="C61" s="153">
        <v>11</v>
      </c>
      <c r="D61" s="133"/>
      <c r="E61" s="250"/>
    </row>
    <row r="62" spans="1:5" s="90" customFormat="1" x14ac:dyDescent="0.7">
      <c r="A62" s="133">
        <f t="shared" si="3"/>
        <v>7</v>
      </c>
      <c r="B62" s="330" t="s">
        <v>558</v>
      </c>
      <c r="C62" s="153">
        <v>6</v>
      </c>
      <c r="D62" s="133"/>
      <c r="E62" s="250"/>
    </row>
    <row r="63" spans="1:5" s="90" customFormat="1" x14ac:dyDescent="0.7">
      <c r="A63" s="133">
        <f t="shared" si="3"/>
        <v>8</v>
      </c>
      <c r="B63" s="330" t="s">
        <v>554</v>
      </c>
      <c r="C63" s="153">
        <v>3</v>
      </c>
      <c r="D63" s="133"/>
      <c r="E63" s="250"/>
    </row>
    <row r="64" spans="1:5" s="90" customFormat="1" x14ac:dyDescent="0.7">
      <c r="A64" s="133">
        <f t="shared" si="3"/>
        <v>9</v>
      </c>
      <c r="B64" s="330" t="s">
        <v>556</v>
      </c>
      <c r="C64" s="153">
        <v>4</v>
      </c>
      <c r="D64" s="133"/>
      <c r="E64" s="250"/>
    </row>
    <row r="65" spans="1:5" s="90" customFormat="1" x14ac:dyDescent="0.7">
      <c r="A65" s="133">
        <f t="shared" si="3"/>
        <v>10</v>
      </c>
      <c r="B65" s="330" t="s">
        <v>562</v>
      </c>
      <c r="C65" s="153">
        <v>3</v>
      </c>
      <c r="D65" s="133"/>
      <c r="E65" s="250"/>
    </row>
    <row r="66" spans="1:5" s="90" customFormat="1" x14ac:dyDescent="0.7">
      <c r="A66" s="133">
        <f t="shared" si="3"/>
        <v>11</v>
      </c>
      <c r="B66" s="330" t="s">
        <v>545</v>
      </c>
      <c r="C66" s="153">
        <v>4</v>
      </c>
      <c r="D66" s="133"/>
      <c r="E66" s="250"/>
    </row>
    <row r="67" spans="1:5" s="90" customFormat="1" x14ac:dyDescent="0.7">
      <c r="A67" s="133">
        <f t="shared" si="3"/>
        <v>12</v>
      </c>
      <c r="B67" s="330" t="s">
        <v>561</v>
      </c>
      <c r="C67" s="153">
        <v>1</v>
      </c>
      <c r="D67" s="133" t="s">
        <v>586</v>
      </c>
      <c r="E67" s="250"/>
    </row>
    <row r="68" spans="1:5" s="90" customFormat="1" x14ac:dyDescent="0.35">
      <c r="A68" s="243">
        <v>6</v>
      </c>
      <c r="B68" s="243" t="s">
        <v>587</v>
      </c>
      <c r="C68" s="243" t="s">
        <v>22</v>
      </c>
      <c r="D68" s="243" t="s">
        <v>543</v>
      </c>
      <c r="E68" s="244"/>
    </row>
    <row r="69" spans="1:5" s="90" customFormat="1" x14ac:dyDescent="0.7">
      <c r="A69" s="133">
        <v>1</v>
      </c>
      <c r="B69" s="330" t="s">
        <v>557</v>
      </c>
      <c r="C69" s="153">
        <v>1</v>
      </c>
      <c r="D69" s="133"/>
      <c r="E69" s="250"/>
    </row>
    <row r="70" spans="1:5" s="90" customFormat="1" x14ac:dyDescent="0.7">
      <c r="A70" s="133">
        <f t="shared" ref="A70:A78" si="4">+A69+1</f>
        <v>2</v>
      </c>
      <c r="B70" s="330" t="s">
        <v>550</v>
      </c>
      <c r="C70" s="153">
        <v>2</v>
      </c>
      <c r="D70" s="133"/>
      <c r="E70" s="250"/>
    </row>
    <row r="71" spans="1:5" s="90" customFormat="1" x14ac:dyDescent="0.7">
      <c r="A71" s="133">
        <f t="shared" si="4"/>
        <v>3</v>
      </c>
      <c r="B71" s="330" t="s">
        <v>552</v>
      </c>
      <c r="C71" s="153">
        <v>2</v>
      </c>
      <c r="D71" s="133"/>
      <c r="E71" s="250"/>
    </row>
    <row r="72" spans="1:5" s="90" customFormat="1" x14ac:dyDescent="0.7">
      <c r="A72" s="133">
        <f t="shared" si="4"/>
        <v>4</v>
      </c>
      <c r="B72" s="330" t="s">
        <v>561</v>
      </c>
      <c r="C72" s="153">
        <v>1</v>
      </c>
      <c r="D72" s="133"/>
      <c r="E72" s="250"/>
    </row>
    <row r="73" spans="1:5" s="90" customFormat="1" x14ac:dyDescent="0.7">
      <c r="A73" s="133">
        <f t="shared" si="4"/>
        <v>5</v>
      </c>
      <c r="B73" s="330" t="s">
        <v>545</v>
      </c>
      <c r="C73" s="153">
        <v>4</v>
      </c>
      <c r="D73" s="133"/>
      <c r="E73" s="250"/>
    </row>
    <row r="74" spans="1:5" s="90" customFormat="1" x14ac:dyDescent="0.7">
      <c r="A74" s="133">
        <f t="shared" si="4"/>
        <v>6</v>
      </c>
      <c r="B74" s="330" t="s">
        <v>568</v>
      </c>
      <c r="C74" s="153">
        <v>4</v>
      </c>
      <c r="D74" s="133"/>
      <c r="E74" s="250"/>
    </row>
    <row r="75" spans="1:5" s="90" customFormat="1" x14ac:dyDescent="0.7">
      <c r="A75" s="133">
        <f t="shared" si="4"/>
        <v>7</v>
      </c>
      <c r="B75" s="330" t="s">
        <v>554</v>
      </c>
      <c r="C75" s="153">
        <v>4</v>
      </c>
      <c r="D75" s="133"/>
      <c r="E75" s="250"/>
    </row>
    <row r="76" spans="1:5" s="90" customFormat="1" x14ac:dyDescent="0.7">
      <c r="A76" s="133">
        <f t="shared" si="4"/>
        <v>8</v>
      </c>
      <c r="B76" s="330" t="s">
        <v>588</v>
      </c>
      <c r="C76" s="153">
        <v>9</v>
      </c>
      <c r="D76" s="133"/>
      <c r="E76" s="250"/>
    </row>
    <row r="77" spans="1:5" s="90" customFormat="1" x14ac:dyDescent="0.7">
      <c r="A77" s="133">
        <f t="shared" si="4"/>
        <v>9</v>
      </c>
      <c r="B77" s="330" t="s">
        <v>558</v>
      </c>
      <c r="C77" s="153">
        <v>4</v>
      </c>
      <c r="D77" s="133"/>
      <c r="E77" s="250"/>
    </row>
    <row r="78" spans="1:5" s="90" customFormat="1" x14ac:dyDescent="0.7">
      <c r="A78" s="133">
        <f t="shared" si="4"/>
        <v>10</v>
      </c>
      <c r="B78" s="330" t="s">
        <v>563</v>
      </c>
      <c r="C78" s="153">
        <v>2</v>
      </c>
      <c r="D78" s="133"/>
      <c r="E78" s="250"/>
    </row>
    <row r="79" spans="1:5" s="90" customFormat="1" x14ac:dyDescent="0.35">
      <c r="A79" s="243">
        <v>7</v>
      </c>
      <c r="B79" s="243" t="s">
        <v>589</v>
      </c>
      <c r="C79" s="243" t="s">
        <v>22</v>
      </c>
      <c r="D79" s="243" t="s">
        <v>543</v>
      </c>
      <c r="E79" s="244"/>
    </row>
    <row r="80" spans="1:5" s="90" customFormat="1" x14ac:dyDescent="0.7">
      <c r="A80" s="133">
        <v>1</v>
      </c>
      <c r="B80" s="330" t="s">
        <v>557</v>
      </c>
      <c r="C80" s="153">
        <v>1</v>
      </c>
      <c r="D80" s="133"/>
      <c r="E80" s="250"/>
    </row>
    <row r="81" spans="1:5" s="90" customFormat="1" x14ac:dyDescent="0.7">
      <c r="A81" s="133">
        <f t="shared" ref="A81:A90" si="5">+A80+1</f>
        <v>2</v>
      </c>
      <c r="B81" s="330" t="s">
        <v>550</v>
      </c>
      <c r="C81" s="153">
        <v>3</v>
      </c>
      <c r="D81" s="133"/>
      <c r="E81" s="250"/>
    </row>
    <row r="82" spans="1:5" s="90" customFormat="1" x14ac:dyDescent="0.7">
      <c r="A82" s="133">
        <f t="shared" si="5"/>
        <v>3</v>
      </c>
      <c r="B82" s="330" t="s">
        <v>552</v>
      </c>
      <c r="C82" s="153">
        <v>3</v>
      </c>
      <c r="D82" s="133"/>
      <c r="E82" s="250"/>
    </row>
    <row r="83" spans="1:5" s="90" customFormat="1" x14ac:dyDescent="0.7">
      <c r="A83" s="133">
        <f t="shared" si="5"/>
        <v>4</v>
      </c>
      <c r="B83" s="330" t="s">
        <v>561</v>
      </c>
      <c r="C83" s="153">
        <v>1</v>
      </c>
      <c r="D83" s="133"/>
      <c r="E83" s="250"/>
    </row>
    <row r="84" spans="1:5" s="90" customFormat="1" x14ac:dyDescent="0.7">
      <c r="A84" s="133">
        <f t="shared" si="5"/>
        <v>5</v>
      </c>
      <c r="B84" s="330" t="s">
        <v>545</v>
      </c>
      <c r="C84" s="153">
        <v>3</v>
      </c>
      <c r="D84" s="133"/>
      <c r="E84" s="250"/>
    </row>
    <row r="85" spans="1:5" s="90" customFormat="1" x14ac:dyDescent="0.7">
      <c r="A85" s="133">
        <f t="shared" si="5"/>
        <v>6</v>
      </c>
      <c r="B85" s="330" t="s">
        <v>568</v>
      </c>
      <c r="C85" s="153">
        <v>3</v>
      </c>
      <c r="D85" s="133"/>
      <c r="E85" s="250"/>
    </row>
    <row r="86" spans="1:5" s="90" customFormat="1" x14ac:dyDescent="0.7">
      <c r="A86" s="133">
        <f t="shared" si="5"/>
        <v>7</v>
      </c>
      <c r="B86" s="330" t="s">
        <v>554</v>
      </c>
      <c r="C86" s="153">
        <v>3</v>
      </c>
      <c r="D86" s="133"/>
      <c r="E86" s="250"/>
    </row>
    <row r="87" spans="1:5" s="90" customFormat="1" x14ac:dyDescent="0.7">
      <c r="A87" s="133">
        <f t="shared" si="5"/>
        <v>8</v>
      </c>
      <c r="B87" s="330" t="s">
        <v>588</v>
      </c>
      <c r="C87" s="153">
        <v>11</v>
      </c>
      <c r="D87" s="133"/>
      <c r="E87" s="250"/>
    </row>
    <row r="88" spans="1:5" s="90" customFormat="1" x14ac:dyDescent="0.7">
      <c r="A88" s="133">
        <f t="shared" si="5"/>
        <v>9</v>
      </c>
      <c r="B88" s="330" t="s">
        <v>558</v>
      </c>
      <c r="C88" s="153">
        <v>7</v>
      </c>
      <c r="D88" s="133"/>
      <c r="E88" s="250"/>
    </row>
    <row r="89" spans="1:5" s="90" customFormat="1" x14ac:dyDescent="0.7">
      <c r="A89" s="133">
        <f t="shared" si="5"/>
        <v>10</v>
      </c>
      <c r="B89" s="330" t="s">
        <v>566</v>
      </c>
      <c r="C89" s="153">
        <v>2</v>
      </c>
      <c r="D89" s="133"/>
      <c r="E89" s="250"/>
    </row>
    <row r="90" spans="1:5" s="90" customFormat="1" x14ac:dyDescent="0.7">
      <c r="A90" s="133">
        <f t="shared" si="5"/>
        <v>11</v>
      </c>
      <c r="B90" s="327" t="s">
        <v>555</v>
      </c>
      <c r="C90" s="153">
        <v>1</v>
      </c>
      <c r="D90" s="133"/>
      <c r="E90" s="250"/>
    </row>
    <row r="91" spans="1:5" s="90" customFormat="1" x14ac:dyDescent="0.35">
      <c r="A91" s="243">
        <v>7</v>
      </c>
      <c r="B91" s="243" t="s">
        <v>590</v>
      </c>
      <c r="C91" s="243" t="s">
        <v>22</v>
      </c>
      <c r="D91" s="243" t="s">
        <v>543</v>
      </c>
      <c r="E91" s="244"/>
    </row>
    <row r="92" spans="1:5" s="90" customFormat="1" x14ac:dyDescent="0.7">
      <c r="A92" s="79">
        <v>1</v>
      </c>
      <c r="B92" s="330" t="s">
        <v>557</v>
      </c>
      <c r="C92" s="110">
        <v>1</v>
      </c>
      <c r="D92" s="79"/>
      <c r="E92" s="248"/>
    </row>
    <row r="93" spans="1:5" s="90" customFormat="1" x14ac:dyDescent="0.35">
      <c r="A93" s="79">
        <f t="shared" ref="A93:A106" si="6">+A92+1</f>
        <v>2</v>
      </c>
      <c r="B93" s="159" t="s">
        <v>550</v>
      </c>
      <c r="C93" s="110">
        <v>1</v>
      </c>
      <c r="D93" s="79"/>
      <c r="E93" s="248"/>
    </row>
    <row r="94" spans="1:5" s="90" customFormat="1" x14ac:dyDescent="0.35">
      <c r="A94" s="79">
        <f t="shared" si="6"/>
        <v>3</v>
      </c>
      <c r="B94" s="159" t="s">
        <v>552</v>
      </c>
      <c r="C94" s="110">
        <v>1</v>
      </c>
      <c r="D94" s="79"/>
      <c r="E94" s="248"/>
    </row>
    <row r="95" spans="1:5" s="90" customFormat="1" x14ac:dyDescent="0.7">
      <c r="A95" s="79">
        <f t="shared" si="6"/>
        <v>4</v>
      </c>
      <c r="B95" s="330" t="s">
        <v>549</v>
      </c>
      <c r="C95" s="110">
        <v>1</v>
      </c>
      <c r="D95" s="79"/>
      <c r="E95" s="248"/>
    </row>
    <row r="96" spans="1:5" s="90" customFormat="1" x14ac:dyDescent="0.35">
      <c r="A96" s="79">
        <f t="shared" si="6"/>
        <v>5</v>
      </c>
      <c r="B96" s="159" t="s">
        <v>561</v>
      </c>
      <c r="C96" s="110">
        <v>2</v>
      </c>
      <c r="D96" s="79"/>
      <c r="E96" s="248"/>
    </row>
    <row r="97" spans="1:5" s="90" customFormat="1" x14ac:dyDescent="0.35">
      <c r="A97" s="79">
        <f t="shared" si="6"/>
        <v>6</v>
      </c>
      <c r="B97" s="159" t="s">
        <v>545</v>
      </c>
      <c r="C97" s="110">
        <v>4</v>
      </c>
      <c r="D97" s="79"/>
      <c r="E97" s="248"/>
    </row>
    <row r="98" spans="1:5" s="90" customFormat="1" x14ac:dyDescent="0.35">
      <c r="A98" s="79">
        <f t="shared" si="6"/>
        <v>7</v>
      </c>
      <c r="B98" s="159" t="s">
        <v>568</v>
      </c>
      <c r="C98" s="110">
        <v>2</v>
      </c>
      <c r="D98" s="79"/>
      <c r="E98" s="248"/>
    </row>
    <row r="99" spans="1:5" s="90" customFormat="1" x14ac:dyDescent="0.35">
      <c r="A99" s="79">
        <f t="shared" si="6"/>
        <v>8</v>
      </c>
      <c r="B99" s="159" t="s">
        <v>554</v>
      </c>
      <c r="C99" s="110">
        <v>1</v>
      </c>
      <c r="D99" s="79"/>
      <c r="E99" s="248"/>
    </row>
    <row r="100" spans="1:5" s="90" customFormat="1" x14ac:dyDescent="0.35">
      <c r="A100" s="79">
        <f t="shared" si="6"/>
        <v>9</v>
      </c>
      <c r="B100" s="159" t="s">
        <v>588</v>
      </c>
      <c r="C100" s="110">
        <v>9</v>
      </c>
      <c r="D100" s="79"/>
      <c r="E100" s="248"/>
    </row>
    <row r="101" spans="1:5" s="90" customFormat="1" x14ac:dyDescent="0.35">
      <c r="A101" s="79">
        <f t="shared" si="6"/>
        <v>10</v>
      </c>
      <c r="B101" s="159" t="s">
        <v>558</v>
      </c>
      <c r="C101" s="110">
        <v>3</v>
      </c>
      <c r="D101" s="79"/>
      <c r="E101" s="248"/>
    </row>
    <row r="102" spans="1:5" s="90" customFormat="1" x14ac:dyDescent="0.7">
      <c r="A102" s="79">
        <f t="shared" si="6"/>
        <v>11</v>
      </c>
      <c r="B102" s="330" t="s">
        <v>563</v>
      </c>
      <c r="C102" s="110">
        <v>2</v>
      </c>
      <c r="D102" s="79"/>
      <c r="E102" s="248"/>
    </row>
    <row r="103" spans="1:5" s="90" customFormat="1" ht="34" x14ac:dyDescent="0.35">
      <c r="A103" s="79">
        <f t="shared" si="6"/>
        <v>12</v>
      </c>
      <c r="B103" s="327" t="s">
        <v>591</v>
      </c>
      <c r="C103" s="110">
        <v>3</v>
      </c>
      <c r="D103" s="79"/>
      <c r="E103" s="248"/>
    </row>
    <row r="104" spans="1:5" s="90" customFormat="1" x14ac:dyDescent="0.35">
      <c r="A104" s="79">
        <f t="shared" si="6"/>
        <v>13</v>
      </c>
      <c r="B104" s="159" t="s">
        <v>567</v>
      </c>
      <c r="C104" s="110">
        <v>3</v>
      </c>
      <c r="D104" s="79"/>
      <c r="E104" s="248"/>
    </row>
    <row r="105" spans="1:5" s="90" customFormat="1" x14ac:dyDescent="0.35">
      <c r="A105" s="79">
        <f t="shared" si="6"/>
        <v>14</v>
      </c>
      <c r="B105" s="159" t="s">
        <v>554</v>
      </c>
      <c r="C105" s="110">
        <v>15</v>
      </c>
      <c r="D105" s="79"/>
      <c r="E105" s="248"/>
    </row>
    <row r="106" spans="1:5" s="90" customFormat="1" x14ac:dyDescent="0.35">
      <c r="A106" s="79">
        <f t="shared" si="6"/>
        <v>15</v>
      </c>
      <c r="B106" s="159" t="s">
        <v>568</v>
      </c>
      <c r="C106" s="110">
        <v>3</v>
      </c>
      <c r="D106" s="79"/>
      <c r="E106" s="248"/>
    </row>
    <row r="107" spans="1:5" s="90" customFormat="1" x14ac:dyDescent="0.35">
      <c r="A107" s="79">
        <v>16</v>
      </c>
      <c r="B107" s="327" t="s">
        <v>555</v>
      </c>
      <c r="C107" s="110">
        <v>1</v>
      </c>
      <c r="D107" s="79"/>
      <c r="E107" s="248"/>
    </row>
    <row r="108" spans="1:5" s="90" customFormat="1" x14ac:dyDescent="0.35">
      <c r="A108" s="114">
        <v>17</v>
      </c>
      <c r="B108" s="339" t="s">
        <v>575</v>
      </c>
      <c r="C108" s="239">
        <v>5</v>
      </c>
      <c r="D108" s="114"/>
      <c r="E108" s="248"/>
    </row>
    <row r="109" spans="1:5" s="90" customFormat="1" x14ac:dyDescent="0.35">
      <c r="A109" s="114">
        <v>19</v>
      </c>
      <c r="B109" s="339" t="s">
        <v>577</v>
      </c>
      <c r="C109" s="239">
        <v>2</v>
      </c>
      <c r="D109" s="114"/>
      <c r="E109" s="248"/>
    </row>
    <row r="110" spans="1:5" s="90" customFormat="1" x14ac:dyDescent="0.35">
      <c r="A110" s="243">
        <v>8</v>
      </c>
      <c r="B110" s="243" t="s">
        <v>592</v>
      </c>
      <c r="C110" s="243" t="s">
        <v>22</v>
      </c>
      <c r="D110" s="243" t="s">
        <v>543</v>
      </c>
      <c r="E110" s="244"/>
    </row>
    <row r="111" spans="1:5" s="90" customFormat="1" x14ac:dyDescent="0.7">
      <c r="A111" s="79">
        <v>1</v>
      </c>
      <c r="B111" s="330" t="s">
        <v>552</v>
      </c>
      <c r="C111" s="153">
        <v>1</v>
      </c>
      <c r="D111" s="133"/>
      <c r="E111" s="250"/>
    </row>
    <row r="112" spans="1:5" s="90" customFormat="1" x14ac:dyDescent="0.7">
      <c r="A112" s="79">
        <f t="shared" ref="A112:A117" si="7">+A111+1</f>
        <v>2</v>
      </c>
      <c r="B112" s="330" t="s">
        <v>550</v>
      </c>
      <c r="C112" s="153">
        <v>1</v>
      </c>
      <c r="D112" s="133"/>
      <c r="E112" s="250"/>
    </row>
    <row r="113" spans="1:5" s="90" customFormat="1" x14ac:dyDescent="0.7">
      <c r="A113" s="79">
        <f t="shared" si="7"/>
        <v>3</v>
      </c>
      <c r="B113" s="330" t="s">
        <v>556</v>
      </c>
      <c r="C113" s="153">
        <v>1</v>
      </c>
      <c r="D113" s="133"/>
      <c r="E113" s="250"/>
    </row>
    <row r="114" spans="1:5" s="90" customFormat="1" x14ac:dyDescent="0.7">
      <c r="A114" s="79">
        <f t="shared" si="7"/>
        <v>4</v>
      </c>
      <c r="B114" s="330" t="s">
        <v>560</v>
      </c>
      <c r="C114" s="153">
        <v>4</v>
      </c>
      <c r="D114" s="133"/>
      <c r="E114" s="250"/>
    </row>
    <row r="115" spans="1:5" s="90" customFormat="1" x14ac:dyDescent="0.7">
      <c r="A115" s="79">
        <f t="shared" si="7"/>
        <v>5</v>
      </c>
      <c r="B115" s="330" t="s">
        <v>562</v>
      </c>
      <c r="C115" s="153">
        <v>1</v>
      </c>
      <c r="D115" s="133"/>
      <c r="E115" s="250"/>
    </row>
    <row r="116" spans="1:5" s="90" customFormat="1" x14ac:dyDescent="0.7">
      <c r="A116" s="79">
        <f t="shared" si="7"/>
        <v>6</v>
      </c>
      <c r="B116" s="330" t="s">
        <v>563</v>
      </c>
      <c r="C116" s="153">
        <v>1</v>
      </c>
      <c r="D116" s="133"/>
      <c r="E116" s="250"/>
    </row>
    <row r="117" spans="1:5" s="90" customFormat="1" x14ac:dyDescent="0.7">
      <c r="A117" s="79">
        <f t="shared" si="7"/>
        <v>7</v>
      </c>
      <c r="B117" s="327" t="s">
        <v>555</v>
      </c>
      <c r="C117" s="153">
        <v>1</v>
      </c>
      <c r="D117" s="133"/>
      <c r="E117" s="250"/>
    </row>
    <row r="118" spans="1:5" s="90" customFormat="1" x14ac:dyDescent="0.7">
      <c r="A118" s="334"/>
      <c r="B118" s="251"/>
      <c r="C118" s="252"/>
      <c r="D118" s="240"/>
      <c r="E118" s="250"/>
    </row>
  </sheetData>
  <mergeCells count="2">
    <mergeCell ref="A1:D1"/>
    <mergeCell ref="F3:K3"/>
  </mergeCells>
  <pageMargins left="0.7" right="0.7" top="0.75" bottom="0.75" header="0.3" footer="0.3"/>
  <pageSetup paperSize="9" scale="8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2218D-E467-4C60-AAE9-775EAEC47CD6}">
  <dimension ref="A1:L200"/>
  <sheetViews>
    <sheetView tabSelected="1" view="pageBreakPreview" topLeftCell="A21" zoomScale="85" zoomScaleNormal="100" zoomScaleSheetLayoutView="85" workbookViewId="0">
      <selection activeCell="J33" sqref="J33"/>
    </sheetView>
  </sheetViews>
  <sheetFormatPr defaultColWidth="8.90625" defaultRowHeight="17" x14ac:dyDescent="0.7"/>
  <cols>
    <col min="1" max="1" width="8.90625" style="151"/>
    <col min="2" max="2" width="27.36328125" style="160" bestFit="1" customWidth="1"/>
    <col min="3" max="3" width="8.90625" style="151"/>
    <col min="4" max="4" width="16.36328125" style="151" bestFit="1" customWidth="1"/>
    <col min="5" max="7" width="8.90625" style="151"/>
    <col min="8" max="8" width="37.90625" style="151" customWidth="1"/>
    <col min="9" max="16384" width="8.90625" style="151"/>
  </cols>
  <sheetData>
    <row r="1" spans="1:12" x14ac:dyDescent="0.7">
      <c r="A1" s="468" t="s">
        <v>593</v>
      </c>
      <c r="B1" s="468"/>
      <c r="C1" s="468"/>
      <c r="D1" s="468"/>
      <c r="G1" s="470" t="s">
        <v>594</v>
      </c>
      <c r="H1" s="470"/>
      <c r="I1" s="470"/>
      <c r="J1" s="470"/>
      <c r="K1" s="470"/>
      <c r="L1" s="470"/>
    </row>
    <row r="2" spans="1:12" ht="34" x14ac:dyDescent="0.7">
      <c r="A2" s="344" t="s">
        <v>540</v>
      </c>
      <c r="B2" s="232" t="s">
        <v>541</v>
      </c>
      <c r="C2" s="344" t="s">
        <v>22</v>
      </c>
      <c r="D2" s="344" t="s">
        <v>543</v>
      </c>
      <c r="G2" s="233" t="s">
        <v>446</v>
      </c>
      <c r="H2" s="234" t="s">
        <v>541</v>
      </c>
      <c r="I2" s="233" t="s">
        <v>546</v>
      </c>
      <c r="J2" s="235" t="s">
        <v>547</v>
      </c>
      <c r="K2" s="236" t="s">
        <v>548</v>
      </c>
      <c r="L2" s="233" t="s">
        <v>543</v>
      </c>
    </row>
    <row r="3" spans="1:12" x14ac:dyDescent="0.7">
      <c r="A3" s="237">
        <v>1</v>
      </c>
      <c r="B3" s="238" t="s">
        <v>595</v>
      </c>
      <c r="C3" s="237" t="s">
        <v>22</v>
      </c>
      <c r="D3" s="237" t="s">
        <v>543</v>
      </c>
      <c r="G3" s="79">
        <v>1</v>
      </c>
      <c r="H3" s="159" t="s">
        <v>545</v>
      </c>
      <c r="I3" s="79" t="s">
        <v>81</v>
      </c>
      <c r="J3" s="239">
        <f>SUMIF(B4:B197,H3,C4:C197)</f>
        <v>28</v>
      </c>
      <c r="K3" s="221">
        <f>J3*100%</f>
        <v>28</v>
      </c>
      <c r="L3" s="133"/>
    </row>
    <row r="4" spans="1:12" x14ac:dyDescent="0.7">
      <c r="A4" s="133">
        <v>1</v>
      </c>
      <c r="B4" s="330" t="s">
        <v>557</v>
      </c>
      <c r="C4" s="153">
        <v>1</v>
      </c>
      <c r="D4" s="133"/>
      <c r="G4" s="79">
        <v>2</v>
      </c>
      <c r="H4" s="159" t="s">
        <v>551</v>
      </c>
      <c r="I4" s="79" t="s">
        <v>81</v>
      </c>
      <c r="J4" s="239">
        <f>SUMIF(B4:B198,H4,C4:C198)</f>
        <v>5</v>
      </c>
      <c r="K4" s="221">
        <f>J4*100%</f>
        <v>5</v>
      </c>
      <c r="L4" s="133"/>
    </row>
    <row r="5" spans="1:12" x14ac:dyDescent="0.7">
      <c r="A5" s="133">
        <f t="shared" ref="A5:A15" si="0">+A4+1</f>
        <v>2</v>
      </c>
      <c r="B5" s="330" t="s">
        <v>550</v>
      </c>
      <c r="C5" s="153">
        <v>1</v>
      </c>
      <c r="D5" s="133"/>
      <c r="G5" s="79">
        <v>3</v>
      </c>
      <c r="H5" s="159" t="s">
        <v>553</v>
      </c>
      <c r="I5" s="79" t="s">
        <v>81</v>
      </c>
      <c r="J5" s="239">
        <f>SUMIF(B4:B199,H5,C4:C199)</f>
        <v>32</v>
      </c>
      <c r="K5" s="221">
        <f>J5*100%</f>
        <v>32</v>
      </c>
      <c r="L5" s="133"/>
    </row>
    <row r="6" spans="1:12" x14ac:dyDescent="0.7">
      <c r="A6" s="133">
        <f t="shared" si="0"/>
        <v>3</v>
      </c>
      <c r="B6" s="330" t="s">
        <v>552</v>
      </c>
      <c r="C6" s="153">
        <v>4</v>
      </c>
      <c r="D6" s="133"/>
      <c r="G6" s="79">
        <v>4</v>
      </c>
      <c r="H6" s="327" t="s">
        <v>555</v>
      </c>
      <c r="I6" s="79" t="s">
        <v>81</v>
      </c>
      <c r="J6" s="239">
        <f>SUMIF(B4:B200,H6,C4:C200)</f>
        <v>3</v>
      </c>
      <c r="K6" s="221">
        <f>J6*100%</f>
        <v>3</v>
      </c>
      <c r="L6" s="133"/>
    </row>
    <row r="7" spans="1:12" x14ac:dyDescent="0.7">
      <c r="A7" s="133">
        <f t="shared" si="0"/>
        <v>4</v>
      </c>
      <c r="B7" s="330" t="s">
        <v>556</v>
      </c>
      <c r="C7" s="153">
        <v>4</v>
      </c>
      <c r="D7" s="133"/>
      <c r="G7" s="79">
        <v>5</v>
      </c>
      <c r="H7" s="330" t="s">
        <v>557</v>
      </c>
      <c r="I7" s="79" t="s">
        <v>81</v>
      </c>
      <c r="J7" s="239">
        <f>SUMIF(B4:B201,H7,C4:C201)</f>
        <v>7</v>
      </c>
      <c r="K7" s="221">
        <f>ROUND(J7*40%,0)</f>
        <v>3</v>
      </c>
      <c r="L7" s="133"/>
    </row>
    <row r="8" spans="1:12" x14ac:dyDescent="0.7">
      <c r="A8" s="133">
        <f t="shared" si="0"/>
        <v>5</v>
      </c>
      <c r="B8" s="330" t="s">
        <v>554</v>
      </c>
      <c r="C8" s="153">
        <v>4</v>
      </c>
      <c r="D8" s="133"/>
      <c r="G8" s="79">
        <v>6</v>
      </c>
      <c r="H8" s="159" t="s">
        <v>559</v>
      </c>
      <c r="I8" s="79" t="s">
        <v>81</v>
      </c>
      <c r="J8" s="239">
        <f>SUMIF(B4:B202,H8,C4:C202)</f>
        <v>9</v>
      </c>
      <c r="K8" s="221">
        <f>ROUND(J8*40%,0)</f>
        <v>4</v>
      </c>
      <c r="L8" s="133"/>
    </row>
    <row r="9" spans="1:12" x14ac:dyDescent="0.7">
      <c r="A9" s="133">
        <f t="shared" si="0"/>
        <v>6</v>
      </c>
      <c r="B9" s="330" t="s">
        <v>560</v>
      </c>
      <c r="C9" s="153">
        <v>8</v>
      </c>
      <c r="D9" s="133"/>
      <c r="G9" s="79">
        <v>7</v>
      </c>
      <c r="H9" s="159" t="s">
        <v>550</v>
      </c>
      <c r="I9" s="79" t="s">
        <v>81</v>
      </c>
      <c r="J9" s="239">
        <f>SUMIF(B4:B203,H9,C4:C203)</f>
        <v>23</v>
      </c>
      <c r="K9" s="221">
        <f>ROUND(J9*40%,0)</f>
        <v>9</v>
      </c>
      <c r="L9" s="133"/>
    </row>
    <row r="10" spans="1:12" x14ac:dyDescent="0.7">
      <c r="A10" s="133">
        <f t="shared" si="0"/>
        <v>7</v>
      </c>
      <c r="B10" s="330" t="s">
        <v>558</v>
      </c>
      <c r="C10" s="153">
        <v>4</v>
      </c>
      <c r="D10" s="133"/>
      <c r="G10" s="79">
        <v>8</v>
      </c>
      <c r="H10" s="159" t="s">
        <v>552</v>
      </c>
      <c r="I10" s="79" t="s">
        <v>81</v>
      </c>
      <c r="J10" s="239">
        <f>SUMIF(B4:B204,H10,C4:C204)</f>
        <v>11</v>
      </c>
      <c r="K10" s="221">
        <f>ROUND(J10*40%,0)</f>
        <v>4</v>
      </c>
      <c r="L10" s="133"/>
    </row>
    <row r="11" spans="1:12" x14ac:dyDescent="0.7">
      <c r="A11" s="133">
        <f t="shared" si="0"/>
        <v>8</v>
      </c>
      <c r="B11" s="330" t="s">
        <v>596</v>
      </c>
      <c r="C11" s="153">
        <v>1</v>
      </c>
      <c r="D11" s="133"/>
      <c r="G11" s="79">
        <v>9</v>
      </c>
      <c r="H11" s="159" t="s">
        <v>554</v>
      </c>
      <c r="I11" s="79" t="s">
        <v>81</v>
      </c>
      <c r="J11" s="239">
        <f>SUMIF(B4:B205,H11,C4:C205)</f>
        <v>44</v>
      </c>
      <c r="K11" s="221">
        <f>ROUND(J11*40%,0)</f>
        <v>18</v>
      </c>
      <c r="L11" s="133"/>
    </row>
    <row r="12" spans="1:12" x14ac:dyDescent="0.7">
      <c r="A12" s="133">
        <f t="shared" si="0"/>
        <v>9</v>
      </c>
      <c r="B12" s="330" t="s">
        <v>561</v>
      </c>
      <c r="C12" s="153">
        <v>2</v>
      </c>
      <c r="D12" s="133"/>
      <c r="G12" s="79">
        <v>10</v>
      </c>
      <c r="H12" s="159" t="s">
        <v>556</v>
      </c>
      <c r="I12" s="79" t="s">
        <v>81</v>
      </c>
      <c r="J12" s="239">
        <f>SUMIF(B4:B206,H12,C4:C206)</f>
        <v>45</v>
      </c>
      <c r="K12" s="221">
        <f>J12*40%</f>
        <v>18</v>
      </c>
      <c r="L12" s="133"/>
    </row>
    <row r="13" spans="1:12" x14ac:dyDescent="0.7">
      <c r="A13" s="133">
        <f t="shared" si="0"/>
        <v>10</v>
      </c>
      <c r="B13" s="159" t="s">
        <v>545</v>
      </c>
      <c r="C13" s="153">
        <v>1</v>
      </c>
      <c r="D13" s="133"/>
      <c r="G13" s="79">
        <v>11</v>
      </c>
      <c r="H13" s="159" t="s">
        <v>558</v>
      </c>
      <c r="I13" s="79" t="s">
        <v>81</v>
      </c>
      <c r="J13" s="239">
        <f>SUMIF(B4:B207,H13,C4:C207)</f>
        <v>47</v>
      </c>
      <c r="K13" s="221">
        <f>ROUND(J13*40%,0)</f>
        <v>19</v>
      </c>
      <c r="L13" s="133"/>
    </row>
    <row r="14" spans="1:12" x14ac:dyDescent="0.7">
      <c r="A14" s="133">
        <f t="shared" si="0"/>
        <v>11</v>
      </c>
      <c r="B14" s="330" t="s">
        <v>553</v>
      </c>
      <c r="C14" s="153">
        <v>1</v>
      </c>
      <c r="D14" s="133" t="s">
        <v>597</v>
      </c>
      <c r="G14" s="79">
        <v>12</v>
      </c>
      <c r="H14" s="159" t="s">
        <v>560</v>
      </c>
      <c r="I14" s="79" t="s">
        <v>81</v>
      </c>
      <c r="J14" s="239">
        <f>SUMIF(B4:B208,H14,C4:C208)</f>
        <v>155</v>
      </c>
      <c r="K14" s="221">
        <f>ROUND(J14*40%,0)</f>
        <v>62</v>
      </c>
      <c r="L14" s="133"/>
    </row>
    <row r="15" spans="1:12" x14ac:dyDescent="0.7">
      <c r="A15" s="133">
        <f t="shared" si="0"/>
        <v>12</v>
      </c>
      <c r="B15" s="159" t="s">
        <v>562</v>
      </c>
      <c r="C15" s="153">
        <v>1</v>
      </c>
      <c r="D15" s="133"/>
      <c r="G15" s="79">
        <v>13</v>
      </c>
      <c r="H15" s="159" t="s">
        <v>561</v>
      </c>
      <c r="I15" s="79" t="s">
        <v>81</v>
      </c>
      <c r="J15" s="239">
        <f>SUMIF(B4:B209,H15,C4:C209)</f>
        <v>15</v>
      </c>
      <c r="K15" s="221">
        <f>ROUND(J15*40%,0)</f>
        <v>6</v>
      </c>
      <c r="L15" s="133"/>
    </row>
    <row r="16" spans="1:12" x14ac:dyDescent="0.7">
      <c r="A16" s="237">
        <v>2</v>
      </c>
      <c r="B16" s="238" t="s">
        <v>598</v>
      </c>
      <c r="C16" s="237" t="s">
        <v>22</v>
      </c>
      <c r="D16" s="237" t="s">
        <v>543</v>
      </c>
      <c r="G16" s="79">
        <v>14</v>
      </c>
      <c r="H16" s="159" t="s">
        <v>562</v>
      </c>
      <c r="I16" s="79" t="s">
        <v>81</v>
      </c>
      <c r="J16" s="239">
        <f>SUMIF(B4:B210,H16,C4:C210)</f>
        <v>27</v>
      </c>
      <c r="K16" s="221">
        <f>ROUND(J16*40%,0)</f>
        <v>11</v>
      </c>
      <c r="L16" s="133"/>
    </row>
    <row r="17" spans="1:12" x14ac:dyDescent="0.7">
      <c r="A17" s="133">
        <v>1</v>
      </c>
      <c r="B17" s="330" t="s">
        <v>557</v>
      </c>
      <c r="C17" s="153">
        <v>1</v>
      </c>
      <c r="D17" s="133"/>
      <c r="G17" s="79">
        <v>15</v>
      </c>
      <c r="H17" s="159" t="s">
        <v>565</v>
      </c>
      <c r="I17" s="79" t="s">
        <v>81</v>
      </c>
      <c r="J17" s="239">
        <f ca="1">SUMIF(B17:B211,H17,C18:C211)</f>
        <v>0</v>
      </c>
      <c r="K17" s="221">
        <f t="shared" ref="K17:K24" ca="1" si="1">J17*100%</f>
        <v>0</v>
      </c>
      <c r="L17" s="133"/>
    </row>
    <row r="18" spans="1:12" x14ac:dyDescent="0.7">
      <c r="A18" s="133">
        <f t="shared" ref="A18:A27" si="2">+A17+1</f>
        <v>2</v>
      </c>
      <c r="B18" s="330" t="s">
        <v>550</v>
      </c>
      <c r="C18" s="153">
        <v>1</v>
      </c>
      <c r="D18" s="133"/>
      <c r="G18" s="79">
        <v>16</v>
      </c>
      <c r="H18" s="339" t="s">
        <v>567</v>
      </c>
      <c r="I18" s="79" t="s">
        <v>81</v>
      </c>
      <c r="J18" s="239">
        <f ca="1">SUMIF(B18:B212,H18,C19:C212)</f>
        <v>0</v>
      </c>
      <c r="K18" s="221">
        <f t="shared" ca="1" si="1"/>
        <v>0</v>
      </c>
      <c r="L18" s="133"/>
    </row>
    <row r="19" spans="1:12" x14ac:dyDescent="0.7">
      <c r="A19" s="133">
        <f t="shared" si="2"/>
        <v>3</v>
      </c>
      <c r="B19" s="330" t="s">
        <v>556</v>
      </c>
      <c r="C19" s="153">
        <v>3</v>
      </c>
      <c r="D19" s="133"/>
      <c r="G19" s="79">
        <v>17</v>
      </c>
      <c r="H19" s="159" t="s">
        <v>569</v>
      </c>
      <c r="I19" s="79" t="s">
        <v>81</v>
      </c>
      <c r="J19" s="239">
        <f>SUMIF(B4:B213,H19,C4:C213)</f>
        <v>16</v>
      </c>
      <c r="K19" s="221">
        <f t="shared" si="1"/>
        <v>16</v>
      </c>
      <c r="L19" s="133"/>
    </row>
    <row r="20" spans="1:12" x14ac:dyDescent="0.7">
      <c r="A20" s="133">
        <f t="shared" si="2"/>
        <v>4</v>
      </c>
      <c r="B20" s="330" t="s">
        <v>554</v>
      </c>
      <c r="C20" s="153">
        <v>1</v>
      </c>
      <c r="D20" s="133"/>
      <c r="G20" s="79">
        <v>18</v>
      </c>
      <c r="H20" s="159" t="s">
        <v>570</v>
      </c>
      <c r="I20" s="79" t="s">
        <v>81</v>
      </c>
      <c r="J20" s="239">
        <f>SUMIF(B3:B214,H20,C3:C214)</f>
        <v>11</v>
      </c>
      <c r="K20" s="221">
        <f t="shared" si="1"/>
        <v>11</v>
      </c>
      <c r="L20" s="133"/>
    </row>
    <row r="21" spans="1:12" x14ac:dyDescent="0.7">
      <c r="A21" s="133">
        <f t="shared" si="2"/>
        <v>5</v>
      </c>
      <c r="B21" s="330" t="s">
        <v>560</v>
      </c>
      <c r="C21" s="153">
        <v>5</v>
      </c>
      <c r="D21" s="133"/>
      <c r="G21" s="79">
        <v>19</v>
      </c>
      <c r="H21" s="159" t="s">
        <v>572</v>
      </c>
      <c r="I21" s="79" t="s">
        <v>81</v>
      </c>
      <c r="J21" s="110">
        <f>C200</f>
        <v>26</v>
      </c>
      <c r="K21" s="221">
        <f t="shared" si="1"/>
        <v>26</v>
      </c>
      <c r="L21" s="133"/>
    </row>
    <row r="22" spans="1:12" x14ac:dyDescent="0.7">
      <c r="A22" s="133">
        <f t="shared" si="2"/>
        <v>6</v>
      </c>
      <c r="B22" s="330" t="s">
        <v>558</v>
      </c>
      <c r="C22" s="153">
        <v>2</v>
      </c>
      <c r="D22" s="133"/>
      <c r="G22" s="79">
        <v>20</v>
      </c>
      <c r="H22" s="159" t="s">
        <v>566</v>
      </c>
      <c r="I22" s="79" t="s">
        <v>81</v>
      </c>
      <c r="J22" s="110">
        <f ca="1">SUMIF(B22:B216,H22,C23:C216)</f>
        <v>4</v>
      </c>
      <c r="K22" s="221">
        <f t="shared" ca="1" si="1"/>
        <v>4</v>
      </c>
      <c r="L22" s="133"/>
    </row>
    <row r="23" spans="1:12" x14ac:dyDescent="0.7">
      <c r="A23" s="133">
        <f t="shared" si="2"/>
        <v>7</v>
      </c>
      <c r="B23" s="159" t="s">
        <v>551</v>
      </c>
      <c r="C23" s="153">
        <v>1</v>
      </c>
      <c r="D23" s="133" t="s">
        <v>599</v>
      </c>
      <c r="G23" s="79">
        <v>21</v>
      </c>
      <c r="H23" s="159" t="s">
        <v>575</v>
      </c>
      <c r="I23" s="79" t="s">
        <v>92</v>
      </c>
      <c r="J23" s="110">
        <v>17</v>
      </c>
      <c r="K23" s="221">
        <f t="shared" si="1"/>
        <v>17</v>
      </c>
      <c r="L23" s="133"/>
    </row>
    <row r="24" spans="1:12" x14ac:dyDescent="0.7">
      <c r="A24" s="133">
        <f t="shared" si="2"/>
        <v>8</v>
      </c>
      <c r="B24" s="330" t="s">
        <v>561</v>
      </c>
      <c r="C24" s="153">
        <v>1</v>
      </c>
      <c r="D24" s="133"/>
      <c r="G24" s="79">
        <v>22</v>
      </c>
      <c r="H24" s="339" t="s">
        <v>600</v>
      </c>
      <c r="I24" s="151" t="s">
        <v>81</v>
      </c>
      <c r="J24" s="110">
        <f ca="1">SUMIF(B24:B218,H24,C25:C218)</f>
        <v>0</v>
      </c>
      <c r="K24" s="221">
        <f t="shared" ca="1" si="1"/>
        <v>0</v>
      </c>
      <c r="L24" s="133"/>
    </row>
    <row r="25" spans="1:12" x14ac:dyDescent="0.7">
      <c r="A25" s="133">
        <f t="shared" si="2"/>
        <v>9</v>
      </c>
      <c r="B25" s="159" t="s">
        <v>545</v>
      </c>
      <c r="C25" s="153">
        <v>3</v>
      </c>
      <c r="D25" s="133"/>
      <c r="G25" s="79">
        <v>23</v>
      </c>
      <c r="H25" s="330" t="s">
        <v>601</v>
      </c>
      <c r="I25" s="133" t="s">
        <v>81</v>
      </c>
      <c r="J25" s="110">
        <f ca="1">SUMIF(B25:B219,H25,C26:C219)</f>
        <v>8</v>
      </c>
      <c r="K25" s="221">
        <f ca="1">J25*50%</f>
        <v>4</v>
      </c>
      <c r="L25" s="133"/>
    </row>
    <row r="26" spans="1:12" x14ac:dyDescent="0.7">
      <c r="A26" s="133">
        <f t="shared" si="2"/>
        <v>10</v>
      </c>
      <c r="B26" s="330" t="s">
        <v>553</v>
      </c>
      <c r="C26" s="153">
        <v>2</v>
      </c>
      <c r="D26" s="133" t="s">
        <v>597</v>
      </c>
      <c r="G26" s="79">
        <v>24</v>
      </c>
      <c r="H26" s="339" t="s">
        <v>576</v>
      </c>
      <c r="I26" s="133" t="s">
        <v>81</v>
      </c>
      <c r="J26" s="110">
        <v>2</v>
      </c>
      <c r="K26" s="221">
        <f>J26*100%</f>
        <v>2</v>
      </c>
      <c r="L26" s="133"/>
    </row>
    <row r="27" spans="1:12" x14ac:dyDescent="0.7">
      <c r="A27" s="133">
        <f t="shared" si="2"/>
        <v>11</v>
      </c>
      <c r="B27" s="159" t="s">
        <v>562</v>
      </c>
      <c r="C27" s="153">
        <v>1</v>
      </c>
      <c r="D27" s="133"/>
      <c r="G27" s="79">
        <v>25</v>
      </c>
      <c r="H27" s="339" t="s">
        <v>577</v>
      </c>
      <c r="I27" s="133" t="s">
        <v>81</v>
      </c>
      <c r="J27" s="110">
        <v>5</v>
      </c>
      <c r="K27" s="221">
        <f>J27*100%</f>
        <v>5</v>
      </c>
      <c r="L27" s="133"/>
    </row>
    <row r="28" spans="1:12" x14ac:dyDescent="0.7">
      <c r="A28" s="237">
        <v>3</v>
      </c>
      <c r="B28" s="238" t="s">
        <v>602</v>
      </c>
      <c r="C28" s="237" t="s">
        <v>22</v>
      </c>
      <c r="D28" s="237" t="s">
        <v>543</v>
      </c>
      <c r="G28" s="79"/>
      <c r="H28" s="339"/>
      <c r="I28" s="133"/>
      <c r="J28" s="110"/>
      <c r="K28" s="221"/>
      <c r="L28" s="240"/>
    </row>
    <row r="29" spans="1:12" x14ac:dyDescent="0.7">
      <c r="A29" s="133">
        <v>1</v>
      </c>
      <c r="B29" s="330" t="s">
        <v>550</v>
      </c>
      <c r="C29" s="153">
        <v>1</v>
      </c>
      <c r="D29" s="133"/>
      <c r="G29" s="79"/>
      <c r="H29" s="339"/>
      <c r="I29" s="133"/>
      <c r="J29" s="110"/>
      <c r="K29" s="221"/>
      <c r="L29" s="133"/>
    </row>
    <row r="30" spans="1:12" x14ac:dyDescent="0.7">
      <c r="A30" s="133">
        <f t="shared" ref="A30:A35" si="3">+A29+1</f>
        <v>2</v>
      </c>
      <c r="B30" s="330" t="s">
        <v>552</v>
      </c>
      <c r="C30" s="153">
        <v>1</v>
      </c>
      <c r="D30" s="133"/>
      <c r="G30" s="79"/>
      <c r="H30" s="339"/>
      <c r="I30" s="133"/>
      <c r="J30" s="110"/>
      <c r="K30" s="221"/>
      <c r="L30" s="133"/>
    </row>
    <row r="31" spans="1:12" x14ac:dyDescent="0.7">
      <c r="A31" s="133">
        <f t="shared" si="3"/>
        <v>3</v>
      </c>
      <c r="B31" s="330" t="s">
        <v>560</v>
      </c>
      <c r="C31" s="153">
        <v>1</v>
      </c>
      <c r="D31" s="133"/>
    </row>
    <row r="32" spans="1:12" x14ac:dyDescent="0.7">
      <c r="A32" s="133">
        <f t="shared" si="3"/>
        <v>4</v>
      </c>
      <c r="B32" s="330" t="s">
        <v>558</v>
      </c>
      <c r="C32" s="153">
        <v>4</v>
      </c>
      <c r="D32" s="133"/>
    </row>
    <row r="33" spans="1:4" x14ac:dyDescent="0.7">
      <c r="A33" s="133">
        <f t="shared" si="3"/>
        <v>5</v>
      </c>
      <c r="B33" s="159" t="s">
        <v>551</v>
      </c>
      <c r="C33" s="153">
        <v>1</v>
      </c>
      <c r="D33" s="133"/>
    </row>
    <row r="34" spans="1:4" x14ac:dyDescent="0.7">
      <c r="A34" s="133">
        <f t="shared" si="3"/>
        <v>6</v>
      </c>
      <c r="B34" s="330" t="s">
        <v>553</v>
      </c>
      <c r="C34" s="153">
        <v>4</v>
      </c>
      <c r="D34" s="133"/>
    </row>
    <row r="35" spans="1:4" x14ac:dyDescent="0.7">
      <c r="A35" s="133">
        <f t="shared" si="3"/>
        <v>7</v>
      </c>
      <c r="B35" s="330" t="s">
        <v>603</v>
      </c>
      <c r="C35" s="153">
        <v>4</v>
      </c>
      <c r="D35" s="133"/>
    </row>
    <row r="36" spans="1:4" x14ac:dyDescent="0.7">
      <c r="A36" s="133"/>
      <c r="B36" s="327" t="s">
        <v>555</v>
      </c>
      <c r="C36" s="153">
        <v>1</v>
      </c>
      <c r="D36" s="133"/>
    </row>
    <row r="37" spans="1:4" x14ac:dyDescent="0.7">
      <c r="A37" s="237">
        <v>4</v>
      </c>
      <c r="B37" s="238" t="s">
        <v>604</v>
      </c>
      <c r="C37" s="237" t="s">
        <v>22</v>
      </c>
      <c r="D37" s="237" t="s">
        <v>543</v>
      </c>
    </row>
    <row r="38" spans="1:4" x14ac:dyDescent="0.7">
      <c r="A38" s="133">
        <v>1</v>
      </c>
      <c r="B38" s="330" t="s">
        <v>557</v>
      </c>
      <c r="C38" s="153">
        <v>2</v>
      </c>
      <c r="D38" s="133"/>
    </row>
    <row r="39" spans="1:4" x14ac:dyDescent="0.7">
      <c r="A39" s="133">
        <f t="shared" ref="A39:A52" si="4">+A38+1</f>
        <v>2</v>
      </c>
      <c r="B39" s="330" t="s">
        <v>550</v>
      </c>
      <c r="C39" s="153">
        <v>4</v>
      </c>
      <c r="D39" s="133"/>
    </row>
    <row r="40" spans="1:4" x14ac:dyDescent="0.7">
      <c r="A40" s="133">
        <f t="shared" si="4"/>
        <v>3</v>
      </c>
      <c r="B40" s="330" t="s">
        <v>556</v>
      </c>
      <c r="C40" s="153">
        <v>9</v>
      </c>
      <c r="D40" s="133"/>
    </row>
    <row r="41" spans="1:4" x14ac:dyDescent="0.7">
      <c r="A41" s="133">
        <f t="shared" si="4"/>
        <v>4</v>
      </c>
      <c r="B41" s="330" t="s">
        <v>554</v>
      </c>
      <c r="C41" s="153">
        <v>9</v>
      </c>
      <c r="D41" s="133"/>
    </row>
    <row r="42" spans="1:4" x14ac:dyDescent="0.7">
      <c r="A42" s="133">
        <f t="shared" si="4"/>
        <v>5</v>
      </c>
      <c r="B42" s="330" t="s">
        <v>560</v>
      </c>
      <c r="C42" s="153">
        <v>18</v>
      </c>
      <c r="D42" s="133"/>
    </row>
    <row r="43" spans="1:4" x14ac:dyDescent="0.7">
      <c r="A43" s="133">
        <f t="shared" si="4"/>
        <v>6</v>
      </c>
      <c r="B43" s="330" t="s">
        <v>558</v>
      </c>
      <c r="C43" s="153">
        <v>8</v>
      </c>
      <c r="D43" s="133"/>
    </row>
    <row r="44" spans="1:4" x14ac:dyDescent="0.7">
      <c r="A44" s="133">
        <f t="shared" si="4"/>
        <v>7</v>
      </c>
      <c r="B44" s="330" t="s">
        <v>605</v>
      </c>
      <c r="C44" s="153">
        <v>2</v>
      </c>
      <c r="D44" s="133" t="s">
        <v>599</v>
      </c>
    </row>
    <row r="45" spans="1:4" x14ac:dyDescent="0.7">
      <c r="A45" s="133">
        <f t="shared" si="4"/>
        <v>8</v>
      </c>
      <c r="B45" s="330" t="s">
        <v>561</v>
      </c>
      <c r="C45" s="153">
        <v>2</v>
      </c>
      <c r="D45" s="133"/>
    </row>
    <row r="46" spans="1:4" x14ac:dyDescent="0.7">
      <c r="A46" s="133">
        <f t="shared" si="4"/>
        <v>9</v>
      </c>
      <c r="B46" s="159" t="s">
        <v>545</v>
      </c>
      <c r="C46" s="153">
        <v>7</v>
      </c>
      <c r="D46" s="133" t="s">
        <v>606</v>
      </c>
    </row>
    <row r="47" spans="1:4" x14ac:dyDescent="0.7">
      <c r="A47" s="133">
        <f t="shared" si="4"/>
        <v>10</v>
      </c>
      <c r="B47" s="330" t="s">
        <v>566</v>
      </c>
      <c r="C47" s="153">
        <v>2</v>
      </c>
      <c r="D47" s="133" t="s">
        <v>597</v>
      </c>
    </row>
    <row r="48" spans="1:4" x14ac:dyDescent="0.7">
      <c r="A48" s="133">
        <v>11</v>
      </c>
      <c r="B48" s="159" t="s">
        <v>569</v>
      </c>
      <c r="C48" s="153">
        <v>2</v>
      </c>
      <c r="D48" s="81"/>
    </row>
    <row r="49" spans="1:4" x14ac:dyDescent="0.7">
      <c r="A49" s="133">
        <f t="shared" si="4"/>
        <v>12</v>
      </c>
      <c r="B49" s="159" t="s">
        <v>562</v>
      </c>
      <c r="C49" s="153">
        <v>8</v>
      </c>
      <c r="D49" s="81"/>
    </row>
    <row r="50" spans="1:4" x14ac:dyDescent="0.7">
      <c r="A50" s="133">
        <f t="shared" si="4"/>
        <v>13</v>
      </c>
      <c r="B50" s="330" t="s">
        <v>607</v>
      </c>
      <c r="C50" s="153">
        <v>2</v>
      </c>
      <c r="D50" s="81"/>
    </row>
    <row r="51" spans="1:4" x14ac:dyDescent="0.7">
      <c r="A51" s="133">
        <f t="shared" si="4"/>
        <v>14</v>
      </c>
      <c r="B51" s="330" t="s">
        <v>608</v>
      </c>
      <c r="C51" s="153">
        <v>4</v>
      </c>
      <c r="D51" s="81" t="s">
        <v>609</v>
      </c>
    </row>
    <row r="52" spans="1:4" x14ac:dyDescent="0.7">
      <c r="A52" s="133">
        <f t="shared" si="4"/>
        <v>15</v>
      </c>
      <c r="B52" s="159" t="s">
        <v>610</v>
      </c>
      <c r="C52" s="110" t="s">
        <v>611</v>
      </c>
      <c r="D52" s="79" t="s">
        <v>612</v>
      </c>
    </row>
    <row r="53" spans="1:4" x14ac:dyDescent="0.7">
      <c r="A53" s="133"/>
      <c r="B53" s="327" t="s">
        <v>555</v>
      </c>
      <c r="C53" s="110">
        <v>2</v>
      </c>
      <c r="D53" s="79"/>
    </row>
    <row r="54" spans="1:4" x14ac:dyDescent="0.7">
      <c r="A54" s="237">
        <v>5</v>
      </c>
      <c r="B54" s="238" t="s">
        <v>613</v>
      </c>
      <c r="C54" s="237" t="s">
        <v>22</v>
      </c>
      <c r="D54" s="237" t="s">
        <v>543</v>
      </c>
    </row>
    <row r="55" spans="1:4" x14ac:dyDescent="0.7">
      <c r="A55" s="133">
        <v>1</v>
      </c>
      <c r="B55" s="330" t="s">
        <v>550</v>
      </c>
      <c r="C55" s="153">
        <v>1</v>
      </c>
      <c r="D55" s="133"/>
    </row>
    <row r="56" spans="1:4" x14ac:dyDescent="0.7">
      <c r="A56" s="133">
        <f>+A55+1</f>
        <v>2</v>
      </c>
      <c r="B56" s="330" t="s">
        <v>556</v>
      </c>
      <c r="C56" s="153">
        <v>1</v>
      </c>
      <c r="D56" s="133"/>
    </row>
    <row r="57" spans="1:4" x14ac:dyDescent="0.7">
      <c r="A57" s="133">
        <f>+A56+1</f>
        <v>3</v>
      </c>
      <c r="B57" s="330" t="s">
        <v>554</v>
      </c>
      <c r="C57" s="153">
        <v>1</v>
      </c>
      <c r="D57" s="133"/>
    </row>
    <row r="58" spans="1:4" x14ac:dyDescent="0.7">
      <c r="A58" s="133">
        <f>+A57+1</f>
        <v>4</v>
      </c>
      <c r="B58" s="330" t="s">
        <v>560</v>
      </c>
      <c r="C58" s="153">
        <v>3</v>
      </c>
      <c r="D58" s="133"/>
    </row>
    <row r="59" spans="1:4" x14ac:dyDescent="0.7">
      <c r="A59" s="133">
        <f>+A58+1</f>
        <v>5</v>
      </c>
      <c r="B59" s="330" t="s">
        <v>371</v>
      </c>
      <c r="C59" s="153">
        <v>1</v>
      </c>
      <c r="D59" s="133"/>
    </row>
    <row r="60" spans="1:4" x14ac:dyDescent="0.7">
      <c r="A60" s="133">
        <f>+A59+1</f>
        <v>6</v>
      </c>
      <c r="B60" s="330" t="s">
        <v>553</v>
      </c>
      <c r="C60" s="153">
        <v>2</v>
      </c>
      <c r="D60" s="133"/>
    </row>
    <row r="61" spans="1:4" x14ac:dyDescent="0.7">
      <c r="A61" s="237">
        <v>6</v>
      </c>
      <c r="B61" s="238" t="s">
        <v>614</v>
      </c>
      <c r="C61" s="237" t="s">
        <v>22</v>
      </c>
      <c r="D61" s="237" t="s">
        <v>543</v>
      </c>
    </row>
    <row r="62" spans="1:4" x14ac:dyDescent="0.7">
      <c r="A62" s="133">
        <v>1</v>
      </c>
      <c r="B62" s="330" t="s">
        <v>550</v>
      </c>
      <c r="C62" s="153">
        <v>1</v>
      </c>
      <c r="D62" s="133"/>
    </row>
    <row r="63" spans="1:4" x14ac:dyDescent="0.7">
      <c r="A63" s="133">
        <f>+A62+1</f>
        <v>2</v>
      </c>
      <c r="B63" s="330" t="s">
        <v>556</v>
      </c>
      <c r="C63" s="153">
        <v>1</v>
      </c>
      <c r="D63" s="133"/>
    </row>
    <row r="64" spans="1:4" x14ac:dyDescent="0.7">
      <c r="A64" s="133">
        <f>+A63+1</f>
        <v>3</v>
      </c>
      <c r="B64" s="330" t="s">
        <v>554</v>
      </c>
      <c r="C64" s="153">
        <v>1</v>
      </c>
      <c r="D64" s="133"/>
    </row>
    <row r="65" spans="1:4" x14ac:dyDescent="0.7">
      <c r="A65" s="133">
        <f>+A64+1</f>
        <v>4</v>
      </c>
      <c r="B65" s="330" t="s">
        <v>560</v>
      </c>
      <c r="C65" s="153">
        <v>3</v>
      </c>
      <c r="D65" s="133"/>
    </row>
    <row r="66" spans="1:4" x14ac:dyDescent="0.7">
      <c r="A66" s="133">
        <f>+A65+1</f>
        <v>5</v>
      </c>
      <c r="B66" s="330" t="s">
        <v>371</v>
      </c>
      <c r="C66" s="153">
        <v>1</v>
      </c>
      <c r="D66" s="133"/>
    </row>
    <row r="67" spans="1:4" x14ac:dyDescent="0.7">
      <c r="A67" s="133">
        <f>+A66+1</f>
        <v>6</v>
      </c>
      <c r="B67" s="330" t="s">
        <v>553</v>
      </c>
      <c r="C67" s="153">
        <v>3</v>
      </c>
      <c r="D67" s="133" t="s">
        <v>615</v>
      </c>
    </row>
    <row r="68" spans="1:4" x14ac:dyDescent="0.7">
      <c r="A68" s="237">
        <v>7</v>
      </c>
      <c r="B68" s="238" t="s">
        <v>616</v>
      </c>
      <c r="C68" s="237" t="s">
        <v>22</v>
      </c>
      <c r="D68" s="237" t="s">
        <v>543</v>
      </c>
    </row>
    <row r="69" spans="1:4" x14ac:dyDescent="0.7">
      <c r="A69" s="133">
        <v>1</v>
      </c>
      <c r="B69" s="159" t="s">
        <v>569</v>
      </c>
      <c r="C69" s="153">
        <v>1</v>
      </c>
      <c r="D69" s="133"/>
    </row>
    <row r="70" spans="1:4" x14ac:dyDescent="0.7">
      <c r="A70" s="133">
        <v>2</v>
      </c>
      <c r="B70" s="330" t="s">
        <v>554</v>
      </c>
      <c r="C70" s="153">
        <v>1</v>
      </c>
      <c r="D70" s="133"/>
    </row>
    <row r="71" spans="1:4" x14ac:dyDescent="0.7">
      <c r="A71" s="133">
        <v>3</v>
      </c>
      <c r="B71" s="330" t="s">
        <v>560</v>
      </c>
      <c r="C71" s="153">
        <v>2</v>
      </c>
      <c r="D71" s="133"/>
    </row>
    <row r="72" spans="1:4" x14ac:dyDescent="0.7">
      <c r="A72" s="133">
        <v>4</v>
      </c>
      <c r="B72" s="330" t="s">
        <v>553</v>
      </c>
      <c r="C72" s="153">
        <v>2</v>
      </c>
      <c r="D72" s="133" t="s">
        <v>615</v>
      </c>
    </row>
    <row r="73" spans="1:4" x14ac:dyDescent="0.7">
      <c r="A73" s="237">
        <v>8</v>
      </c>
      <c r="B73" s="238" t="s">
        <v>617</v>
      </c>
      <c r="C73" s="237" t="s">
        <v>22</v>
      </c>
      <c r="D73" s="237" t="s">
        <v>543</v>
      </c>
    </row>
    <row r="74" spans="1:4" x14ac:dyDescent="0.7">
      <c r="A74" s="133">
        <v>1</v>
      </c>
      <c r="B74" s="330" t="s">
        <v>550</v>
      </c>
      <c r="C74" s="153">
        <v>1</v>
      </c>
      <c r="D74" s="133"/>
    </row>
    <row r="75" spans="1:4" x14ac:dyDescent="0.7">
      <c r="A75" s="133">
        <f>+A74+1</f>
        <v>2</v>
      </c>
      <c r="B75" s="330" t="s">
        <v>558</v>
      </c>
      <c r="C75" s="153">
        <v>1</v>
      </c>
      <c r="D75" s="133"/>
    </row>
    <row r="76" spans="1:4" x14ac:dyDescent="0.7">
      <c r="A76" s="133">
        <f>+A75+1</f>
        <v>3</v>
      </c>
      <c r="B76" s="330" t="s">
        <v>560</v>
      </c>
      <c r="C76" s="153">
        <v>4</v>
      </c>
      <c r="D76" s="133"/>
    </row>
    <row r="77" spans="1:4" x14ac:dyDescent="0.7">
      <c r="A77" s="133">
        <f>+A76+1</f>
        <v>4</v>
      </c>
      <c r="B77" s="330" t="s">
        <v>371</v>
      </c>
      <c r="C77" s="153">
        <v>1</v>
      </c>
      <c r="D77" s="133"/>
    </row>
    <row r="78" spans="1:4" x14ac:dyDescent="0.7">
      <c r="A78" s="133">
        <f>+A77+1</f>
        <v>5</v>
      </c>
      <c r="B78" s="330" t="s">
        <v>553</v>
      </c>
      <c r="C78" s="153">
        <v>2</v>
      </c>
      <c r="D78" s="133" t="s">
        <v>615</v>
      </c>
    </row>
    <row r="79" spans="1:4" x14ac:dyDescent="0.7">
      <c r="A79" s="237">
        <v>9</v>
      </c>
      <c r="B79" s="238" t="s">
        <v>618</v>
      </c>
      <c r="C79" s="237" t="s">
        <v>22</v>
      </c>
      <c r="D79" s="237" t="s">
        <v>543</v>
      </c>
    </row>
    <row r="80" spans="1:4" x14ac:dyDescent="0.7">
      <c r="A80" s="133">
        <v>1</v>
      </c>
      <c r="B80" s="330" t="s">
        <v>550</v>
      </c>
      <c r="C80" s="153">
        <v>1</v>
      </c>
      <c r="D80" s="133"/>
    </row>
    <row r="81" spans="1:4" x14ac:dyDescent="0.7">
      <c r="A81" s="133">
        <f>+A80+1</f>
        <v>2</v>
      </c>
      <c r="B81" s="330" t="s">
        <v>552</v>
      </c>
      <c r="C81" s="153">
        <v>1</v>
      </c>
      <c r="D81" s="133"/>
    </row>
    <row r="82" spans="1:4" x14ac:dyDescent="0.7">
      <c r="A82" s="133">
        <f t="shared" ref="A82:A89" si="5">+A81+1</f>
        <v>3</v>
      </c>
      <c r="B82" s="159" t="s">
        <v>569</v>
      </c>
      <c r="C82" s="153">
        <v>1</v>
      </c>
      <c r="D82" s="133"/>
    </row>
    <row r="83" spans="1:4" x14ac:dyDescent="0.7">
      <c r="A83" s="133">
        <f t="shared" si="5"/>
        <v>4</v>
      </c>
      <c r="B83" s="330" t="s">
        <v>553</v>
      </c>
      <c r="C83" s="153">
        <v>2</v>
      </c>
      <c r="D83" s="133"/>
    </row>
    <row r="84" spans="1:4" x14ac:dyDescent="0.7">
      <c r="A84" s="133">
        <f t="shared" si="5"/>
        <v>5</v>
      </c>
      <c r="B84" s="330" t="s">
        <v>619</v>
      </c>
      <c r="C84" s="153">
        <v>1</v>
      </c>
      <c r="D84" s="133" t="s">
        <v>615</v>
      </c>
    </row>
    <row r="85" spans="1:4" x14ac:dyDescent="0.7">
      <c r="A85" s="133">
        <f t="shared" si="5"/>
        <v>6</v>
      </c>
      <c r="B85" s="330" t="s">
        <v>620</v>
      </c>
      <c r="C85" s="153">
        <v>1</v>
      </c>
      <c r="D85" s="81"/>
    </row>
    <row r="86" spans="1:4" x14ac:dyDescent="0.7">
      <c r="A86" s="133">
        <f t="shared" si="5"/>
        <v>7</v>
      </c>
      <c r="B86" s="330" t="s">
        <v>558</v>
      </c>
      <c r="C86" s="153">
        <v>1</v>
      </c>
      <c r="D86" s="81"/>
    </row>
    <row r="87" spans="1:4" x14ac:dyDescent="0.7">
      <c r="A87" s="133">
        <f t="shared" si="5"/>
        <v>8</v>
      </c>
      <c r="B87" s="330" t="s">
        <v>560</v>
      </c>
      <c r="C87" s="153">
        <v>6</v>
      </c>
      <c r="D87" s="81"/>
    </row>
    <row r="88" spans="1:4" x14ac:dyDescent="0.7">
      <c r="A88" s="133">
        <f t="shared" si="5"/>
        <v>9</v>
      </c>
      <c r="B88" s="330" t="s">
        <v>621</v>
      </c>
      <c r="C88" s="153">
        <v>1</v>
      </c>
      <c r="D88" s="81"/>
    </row>
    <row r="89" spans="1:4" x14ac:dyDescent="0.7">
      <c r="A89" s="133">
        <f t="shared" si="5"/>
        <v>10</v>
      </c>
      <c r="B89" s="330" t="s">
        <v>561</v>
      </c>
      <c r="C89" s="153">
        <v>1</v>
      </c>
      <c r="D89" s="81"/>
    </row>
    <row r="90" spans="1:4" x14ac:dyDescent="0.7">
      <c r="A90" s="237">
        <v>10</v>
      </c>
      <c r="B90" s="238" t="s">
        <v>622</v>
      </c>
      <c r="C90" s="237" t="s">
        <v>22</v>
      </c>
      <c r="D90" s="237" t="s">
        <v>543</v>
      </c>
    </row>
    <row r="91" spans="1:4" x14ac:dyDescent="0.7">
      <c r="A91" s="133">
        <v>1</v>
      </c>
      <c r="B91" s="330" t="s">
        <v>557</v>
      </c>
      <c r="C91" s="153">
        <v>1</v>
      </c>
      <c r="D91" s="133"/>
    </row>
    <row r="92" spans="1:4" x14ac:dyDescent="0.7">
      <c r="A92" s="133">
        <f t="shared" ref="A92:A103" si="6">+A91+1</f>
        <v>2</v>
      </c>
      <c r="B92" s="330" t="s">
        <v>550</v>
      </c>
      <c r="C92" s="153">
        <v>2</v>
      </c>
      <c r="D92" s="133"/>
    </row>
    <row r="93" spans="1:4" x14ac:dyDescent="0.7">
      <c r="A93" s="133">
        <f t="shared" si="6"/>
        <v>3</v>
      </c>
      <c r="B93" s="159" t="s">
        <v>569</v>
      </c>
      <c r="C93" s="153">
        <v>11</v>
      </c>
      <c r="D93" s="133"/>
    </row>
    <row r="94" spans="1:4" x14ac:dyDescent="0.7">
      <c r="A94" s="133">
        <f t="shared" si="6"/>
        <v>4</v>
      </c>
      <c r="B94" s="330" t="s">
        <v>556</v>
      </c>
      <c r="C94" s="153">
        <v>10</v>
      </c>
      <c r="D94" s="133"/>
    </row>
    <row r="95" spans="1:4" x14ac:dyDescent="0.7">
      <c r="A95" s="133">
        <f t="shared" si="6"/>
        <v>5</v>
      </c>
      <c r="B95" s="330" t="s">
        <v>554</v>
      </c>
      <c r="C95" s="153">
        <v>11</v>
      </c>
      <c r="D95" s="133"/>
    </row>
    <row r="96" spans="1:4" x14ac:dyDescent="0.7">
      <c r="A96" s="133">
        <f t="shared" si="6"/>
        <v>6</v>
      </c>
      <c r="B96" s="330" t="s">
        <v>560</v>
      </c>
      <c r="C96" s="153">
        <v>13</v>
      </c>
      <c r="D96" s="133"/>
    </row>
    <row r="97" spans="1:4" x14ac:dyDescent="0.7">
      <c r="A97" s="133">
        <f t="shared" si="6"/>
        <v>7</v>
      </c>
      <c r="B97" s="330" t="s">
        <v>558</v>
      </c>
      <c r="C97" s="153">
        <v>5</v>
      </c>
      <c r="D97" s="133"/>
    </row>
    <row r="98" spans="1:4" x14ac:dyDescent="0.7">
      <c r="A98" s="133">
        <f>+A97+1</f>
        <v>8</v>
      </c>
      <c r="B98" s="159" t="s">
        <v>551</v>
      </c>
      <c r="C98" s="153">
        <v>2</v>
      </c>
      <c r="D98" s="133" t="s">
        <v>599</v>
      </c>
    </row>
    <row r="99" spans="1:4" x14ac:dyDescent="0.7">
      <c r="A99" s="133">
        <f t="shared" si="6"/>
        <v>9</v>
      </c>
      <c r="B99" s="330" t="s">
        <v>561</v>
      </c>
      <c r="C99" s="153">
        <v>2</v>
      </c>
      <c r="D99" s="133"/>
    </row>
    <row r="100" spans="1:4" x14ac:dyDescent="0.7">
      <c r="A100" s="133">
        <f t="shared" si="6"/>
        <v>10</v>
      </c>
      <c r="B100" s="159" t="s">
        <v>545</v>
      </c>
      <c r="C100" s="153">
        <v>5</v>
      </c>
      <c r="D100" s="133" t="s">
        <v>606</v>
      </c>
    </row>
    <row r="101" spans="1:4" x14ac:dyDescent="0.7">
      <c r="A101" s="133">
        <f t="shared" si="6"/>
        <v>11</v>
      </c>
      <c r="B101" s="330" t="s">
        <v>553</v>
      </c>
      <c r="C101" s="153">
        <v>2</v>
      </c>
      <c r="D101" s="133" t="s">
        <v>597</v>
      </c>
    </row>
    <row r="102" spans="1:4" x14ac:dyDescent="0.7">
      <c r="A102" s="133">
        <f t="shared" si="6"/>
        <v>12</v>
      </c>
      <c r="B102" s="159" t="s">
        <v>562</v>
      </c>
      <c r="C102" s="153">
        <v>11</v>
      </c>
      <c r="D102" s="133"/>
    </row>
    <row r="103" spans="1:4" x14ac:dyDescent="0.7">
      <c r="A103" s="133">
        <f t="shared" si="6"/>
        <v>13</v>
      </c>
      <c r="B103" s="330" t="s">
        <v>623</v>
      </c>
      <c r="C103" s="110" t="s">
        <v>611</v>
      </c>
      <c r="D103" s="79"/>
    </row>
    <row r="104" spans="1:4" x14ac:dyDescent="0.7">
      <c r="A104" s="237">
        <v>11</v>
      </c>
      <c r="B104" s="238" t="s">
        <v>219</v>
      </c>
      <c r="C104" s="237" t="s">
        <v>22</v>
      </c>
      <c r="D104" s="237" t="s">
        <v>543</v>
      </c>
    </row>
    <row r="105" spans="1:4" x14ac:dyDescent="0.7">
      <c r="A105" s="133">
        <v>1</v>
      </c>
      <c r="B105" s="330" t="s">
        <v>559</v>
      </c>
      <c r="C105" s="153">
        <v>1</v>
      </c>
      <c r="D105" s="133"/>
    </row>
    <row r="106" spans="1:4" x14ac:dyDescent="0.7">
      <c r="A106" s="133">
        <f>+A105+1</f>
        <v>2</v>
      </c>
      <c r="B106" s="330" t="s">
        <v>620</v>
      </c>
      <c r="C106" s="153">
        <v>1</v>
      </c>
      <c r="D106" s="81"/>
    </row>
    <row r="107" spans="1:4" x14ac:dyDescent="0.7">
      <c r="A107" s="133">
        <f t="shared" ref="A107:A112" si="7">+A106+1</f>
        <v>3</v>
      </c>
      <c r="B107" s="330" t="s">
        <v>558</v>
      </c>
      <c r="C107" s="153">
        <v>1</v>
      </c>
      <c r="D107" s="81"/>
    </row>
    <row r="108" spans="1:4" x14ac:dyDescent="0.7">
      <c r="A108" s="133">
        <f t="shared" si="7"/>
        <v>4</v>
      </c>
      <c r="B108" s="330" t="s">
        <v>560</v>
      </c>
      <c r="C108" s="153">
        <v>5</v>
      </c>
      <c r="D108" s="81"/>
    </row>
    <row r="109" spans="1:4" x14ac:dyDescent="0.7">
      <c r="A109" s="133">
        <f t="shared" si="7"/>
        <v>5</v>
      </c>
      <c r="B109" s="159" t="s">
        <v>551</v>
      </c>
      <c r="C109" s="153">
        <v>1</v>
      </c>
      <c r="D109" s="81"/>
    </row>
    <row r="110" spans="1:4" x14ac:dyDescent="0.7">
      <c r="A110" s="133">
        <f t="shared" si="7"/>
        <v>6</v>
      </c>
      <c r="B110" s="159" t="s">
        <v>545</v>
      </c>
      <c r="C110" s="153">
        <v>2</v>
      </c>
      <c r="D110" s="81"/>
    </row>
    <row r="111" spans="1:4" x14ac:dyDescent="0.7">
      <c r="A111" s="133">
        <f t="shared" si="7"/>
        <v>7</v>
      </c>
      <c r="B111" s="330" t="s">
        <v>624</v>
      </c>
      <c r="C111" s="153">
        <v>1</v>
      </c>
      <c r="D111" s="81"/>
    </row>
    <row r="112" spans="1:4" x14ac:dyDescent="0.7">
      <c r="A112" s="133">
        <f t="shared" si="7"/>
        <v>8</v>
      </c>
      <c r="B112" s="330" t="s">
        <v>625</v>
      </c>
      <c r="C112" s="153">
        <v>3</v>
      </c>
      <c r="D112" s="81"/>
    </row>
    <row r="113" spans="1:4" x14ac:dyDescent="0.7">
      <c r="A113" s="237">
        <v>12</v>
      </c>
      <c r="B113" s="238" t="s">
        <v>220</v>
      </c>
      <c r="C113" s="237" t="s">
        <v>22</v>
      </c>
      <c r="D113" s="237" t="s">
        <v>543</v>
      </c>
    </row>
    <row r="114" spans="1:4" x14ac:dyDescent="0.7">
      <c r="A114" s="133">
        <v>1</v>
      </c>
      <c r="B114" s="330" t="s">
        <v>559</v>
      </c>
      <c r="C114" s="153">
        <v>1</v>
      </c>
      <c r="D114" s="133"/>
    </row>
    <row r="115" spans="1:4" x14ac:dyDescent="0.7">
      <c r="A115" s="133">
        <v>2</v>
      </c>
      <c r="B115" s="330" t="s">
        <v>620</v>
      </c>
      <c r="C115" s="153">
        <v>1</v>
      </c>
      <c r="D115" s="81"/>
    </row>
    <row r="116" spans="1:4" x14ac:dyDescent="0.7">
      <c r="A116" s="133">
        <v>3</v>
      </c>
      <c r="B116" s="330" t="s">
        <v>558</v>
      </c>
      <c r="C116" s="153">
        <v>1</v>
      </c>
      <c r="D116" s="81"/>
    </row>
    <row r="117" spans="1:4" x14ac:dyDescent="0.7">
      <c r="A117" s="133">
        <v>4</v>
      </c>
      <c r="B117" s="330" t="s">
        <v>560</v>
      </c>
      <c r="C117" s="153">
        <v>5</v>
      </c>
      <c r="D117" s="81"/>
    </row>
    <row r="118" spans="1:4" x14ac:dyDescent="0.7">
      <c r="A118" s="133">
        <v>5</v>
      </c>
      <c r="B118" s="330" t="s">
        <v>621</v>
      </c>
      <c r="C118" s="153">
        <v>1</v>
      </c>
      <c r="D118" s="81"/>
    </row>
    <row r="119" spans="1:4" x14ac:dyDescent="0.7">
      <c r="A119" s="133">
        <v>6</v>
      </c>
      <c r="B119" s="159" t="s">
        <v>545</v>
      </c>
      <c r="C119" s="153">
        <v>2</v>
      </c>
      <c r="D119" s="81"/>
    </row>
    <row r="120" spans="1:4" x14ac:dyDescent="0.7">
      <c r="A120" s="133">
        <v>7</v>
      </c>
      <c r="B120" s="330" t="s">
        <v>624</v>
      </c>
      <c r="C120" s="153">
        <v>1</v>
      </c>
      <c r="D120" s="81"/>
    </row>
    <row r="121" spans="1:4" x14ac:dyDescent="0.7">
      <c r="A121" s="133">
        <v>8</v>
      </c>
      <c r="B121" s="330" t="s">
        <v>625</v>
      </c>
      <c r="C121" s="153">
        <v>3</v>
      </c>
      <c r="D121" s="81"/>
    </row>
    <row r="122" spans="1:4" x14ac:dyDescent="0.7">
      <c r="A122" s="133">
        <v>9</v>
      </c>
      <c r="B122" s="330" t="s">
        <v>624</v>
      </c>
      <c r="C122" s="153">
        <v>1</v>
      </c>
      <c r="D122" s="81"/>
    </row>
    <row r="123" spans="1:4" x14ac:dyDescent="0.7">
      <c r="A123" s="133">
        <v>10</v>
      </c>
      <c r="B123" s="330" t="s">
        <v>601</v>
      </c>
      <c r="C123" s="153">
        <v>1</v>
      </c>
      <c r="D123" s="81"/>
    </row>
    <row r="124" spans="1:4" x14ac:dyDescent="0.7">
      <c r="A124" s="237">
        <v>13</v>
      </c>
      <c r="B124" s="238" t="s">
        <v>626</v>
      </c>
      <c r="C124" s="237" t="s">
        <v>22</v>
      </c>
      <c r="D124" s="237" t="s">
        <v>543</v>
      </c>
    </row>
    <row r="125" spans="1:4" x14ac:dyDescent="0.7">
      <c r="A125" s="133">
        <v>1</v>
      </c>
      <c r="B125" s="330" t="s">
        <v>559</v>
      </c>
      <c r="C125" s="153">
        <v>1</v>
      </c>
      <c r="D125" s="133"/>
    </row>
    <row r="126" spans="1:4" x14ac:dyDescent="0.7">
      <c r="A126" s="133">
        <v>2</v>
      </c>
      <c r="B126" s="330" t="s">
        <v>619</v>
      </c>
      <c r="C126" s="153">
        <v>1</v>
      </c>
      <c r="D126" s="133"/>
    </row>
    <row r="127" spans="1:4" x14ac:dyDescent="0.7">
      <c r="A127" s="133">
        <f>+A126+1</f>
        <v>3</v>
      </c>
      <c r="B127" s="330" t="s">
        <v>561</v>
      </c>
      <c r="C127" s="153">
        <v>1</v>
      </c>
      <c r="D127" s="81"/>
    </row>
    <row r="128" spans="1:4" x14ac:dyDescent="0.7">
      <c r="A128" s="133">
        <f>+A127+1</f>
        <v>4</v>
      </c>
      <c r="B128" s="330" t="s">
        <v>561</v>
      </c>
      <c r="C128" s="153">
        <v>1</v>
      </c>
      <c r="D128" s="81"/>
    </row>
    <row r="129" spans="1:4" x14ac:dyDescent="0.7">
      <c r="A129" s="133">
        <f>+A128+1</f>
        <v>5</v>
      </c>
      <c r="B129" s="330" t="s">
        <v>621</v>
      </c>
      <c r="C129" s="153">
        <v>1</v>
      </c>
      <c r="D129" s="81"/>
    </row>
    <row r="130" spans="1:4" x14ac:dyDescent="0.7">
      <c r="A130" s="133">
        <f>+A129+1</f>
        <v>6</v>
      </c>
      <c r="B130" s="330" t="s">
        <v>601</v>
      </c>
      <c r="C130" s="153">
        <v>1</v>
      </c>
      <c r="D130" s="81"/>
    </row>
    <row r="131" spans="1:4" x14ac:dyDescent="0.7">
      <c r="A131" s="133">
        <f>+A130+1</f>
        <v>7</v>
      </c>
      <c r="B131" s="330" t="s">
        <v>627</v>
      </c>
      <c r="C131" s="153">
        <v>1</v>
      </c>
      <c r="D131" s="81"/>
    </row>
    <row r="132" spans="1:4" x14ac:dyDescent="0.7">
      <c r="A132" s="237">
        <v>14</v>
      </c>
      <c r="B132" s="238" t="s">
        <v>628</v>
      </c>
      <c r="C132" s="237" t="s">
        <v>22</v>
      </c>
      <c r="D132" s="237" t="s">
        <v>543</v>
      </c>
    </row>
    <row r="133" spans="1:4" x14ac:dyDescent="0.7">
      <c r="A133" s="79">
        <v>1</v>
      </c>
      <c r="B133" s="159" t="s">
        <v>553</v>
      </c>
      <c r="C133" s="110">
        <v>2</v>
      </c>
      <c r="D133" s="79"/>
    </row>
    <row r="134" spans="1:4" x14ac:dyDescent="0.7">
      <c r="A134" s="79">
        <v>2</v>
      </c>
      <c r="B134" s="159" t="s">
        <v>629</v>
      </c>
      <c r="C134" s="110" t="s">
        <v>611</v>
      </c>
      <c r="D134" s="79"/>
    </row>
    <row r="135" spans="1:4" x14ac:dyDescent="0.7">
      <c r="A135" s="79">
        <v>3</v>
      </c>
      <c r="B135" s="159" t="s">
        <v>630</v>
      </c>
      <c r="C135" s="110">
        <v>2</v>
      </c>
      <c r="D135" s="79"/>
    </row>
    <row r="136" spans="1:4" x14ac:dyDescent="0.7">
      <c r="A136" s="79">
        <v>4</v>
      </c>
      <c r="B136" s="159" t="s">
        <v>569</v>
      </c>
      <c r="C136" s="110">
        <v>1</v>
      </c>
      <c r="D136" s="79"/>
    </row>
    <row r="137" spans="1:4" x14ac:dyDescent="0.7">
      <c r="A137" s="79">
        <v>5</v>
      </c>
      <c r="B137" s="159" t="s">
        <v>562</v>
      </c>
      <c r="C137" s="110">
        <v>2</v>
      </c>
      <c r="D137" s="79"/>
    </row>
    <row r="138" spans="1:4" x14ac:dyDescent="0.7">
      <c r="A138" s="237">
        <v>15</v>
      </c>
      <c r="B138" s="238" t="s">
        <v>631</v>
      </c>
      <c r="C138" s="237" t="s">
        <v>22</v>
      </c>
      <c r="D138" s="237" t="s">
        <v>543</v>
      </c>
    </row>
    <row r="139" spans="1:4" x14ac:dyDescent="0.7">
      <c r="A139" s="133">
        <v>1</v>
      </c>
      <c r="B139" s="330" t="s">
        <v>559</v>
      </c>
      <c r="C139" s="153">
        <v>1</v>
      </c>
      <c r="D139" s="133"/>
    </row>
    <row r="140" spans="1:4" x14ac:dyDescent="0.7">
      <c r="A140" s="133">
        <f>+A139+1</f>
        <v>2</v>
      </c>
      <c r="B140" s="330" t="s">
        <v>550</v>
      </c>
      <c r="C140" s="153">
        <v>3</v>
      </c>
      <c r="D140" s="133"/>
    </row>
    <row r="141" spans="1:4" x14ac:dyDescent="0.7">
      <c r="A141" s="133">
        <f t="shared" ref="A141:A146" si="8">+A140+1</f>
        <v>3</v>
      </c>
      <c r="B141" s="330" t="s">
        <v>620</v>
      </c>
      <c r="C141" s="153">
        <v>3</v>
      </c>
      <c r="D141" s="81"/>
    </row>
    <row r="142" spans="1:4" x14ac:dyDescent="0.7">
      <c r="A142" s="133">
        <f t="shared" si="8"/>
        <v>4</v>
      </c>
      <c r="B142" s="330" t="s">
        <v>619</v>
      </c>
      <c r="C142" s="153">
        <v>3</v>
      </c>
      <c r="D142" s="81"/>
    </row>
    <row r="143" spans="1:4" x14ac:dyDescent="0.7">
      <c r="A143" s="133">
        <f t="shared" si="8"/>
        <v>5</v>
      </c>
      <c r="B143" s="330" t="s">
        <v>558</v>
      </c>
      <c r="C143" s="153">
        <v>4</v>
      </c>
      <c r="D143" s="81"/>
    </row>
    <row r="144" spans="1:4" x14ac:dyDescent="0.7">
      <c r="A144" s="133">
        <f t="shared" si="8"/>
        <v>6</v>
      </c>
      <c r="B144" s="330" t="s">
        <v>560</v>
      </c>
      <c r="C144" s="153">
        <v>8</v>
      </c>
      <c r="D144" s="81"/>
    </row>
    <row r="145" spans="1:4" x14ac:dyDescent="0.7">
      <c r="A145" s="133">
        <f t="shared" si="8"/>
        <v>7</v>
      </c>
      <c r="B145" s="330" t="s">
        <v>625</v>
      </c>
      <c r="C145" s="153">
        <v>2</v>
      </c>
      <c r="D145" s="81"/>
    </row>
    <row r="146" spans="1:4" x14ac:dyDescent="0.7">
      <c r="A146" s="133">
        <f t="shared" si="8"/>
        <v>8</v>
      </c>
      <c r="B146" s="330" t="s">
        <v>601</v>
      </c>
      <c r="C146" s="153">
        <v>1</v>
      </c>
      <c r="D146" s="81"/>
    </row>
    <row r="147" spans="1:4" x14ac:dyDescent="0.7">
      <c r="A147" s="237">
        <v>16</v>
      </c>
      <c r="B147" s="238" t="s">
        <v>632</v>
      </c>
      <c r="C147" s="237" t="s">
        <v>22</v>
      </c>
      <c r="D147" s="237" t="s">
        <v>543</v>
      </c>
    </row>
    <row r="148" spans="1:4" x14ac:dyDescent="0.7">
      <c r="A148" s="133">
        <v>1</v>
      </c>
      <c r="B148" s="330" t="s">
        <v>559</v>
      </c>
      <c r="C148" s="153">
        <v>1</v>
      </c>
      <c r="D148" s="133"/>
    </row>
    <row r="149" spans="1:4" x14ac:dyDescent="0.7">
      <c r="A149" s="133">
        <f>+A148+1</f>
        <v>2</v>
      </c>
      <c r="B149" s="330" t="s">
        <v>550</v>
      </c>
      <c r="C149" s="153">
        <v>1</v>
      </c>
      <c r="D149" s="133"/>
    </row>
    <row r="150" spans="1:4" x14ac:dyDescent="0.7">
      <c r="A150" s="133">
        <f t="shared" ref="A150:A157" si="9">+A149+1</f>
        <v>3</v>
      </c>
      <c r="B150" s="330" t="s">
        <v>620</v>
      </c>
      <c r="C150" s="153">
        <v>1</v>
      </c>
      <c r="D150" s="81"/>
    </row>
    <row r="151" spans="1:4" x14ac:dyDescent="0.7">
      <c r="A151" s="133">
        <f t="shared" si="9"/>
        <v>4</v>
      </c>
      <c r="B151" s="330" t="s">
        <v>619</v>
      </c>
      <c r="C151" s="153">
        <v>1</v>
      </c>
      <c r="D151" s="81"/>
    </row>
    <row r="152" spans="1:4" x14ac:dyDescent="0.7">
      <c r="A152" s="133">
        <f t="shared" si="9"/>
        <v>5</v>
      </c>
      <c r="B152" s="330" t="s">
        <v>558</v>
      </c>
      <c r="C152" s="153">
        <v>2</v>
      </c>
      <c r="D152" s="81"/>
    </row>
    <row r="153" spans="1:4" x14ac:dyDescent="0.7">
      <c r="A153" s="133">
        <f t="shared" si="9"/>
        <v>6</v>
      </c>
      <c r="B153" s="330" t="s">
        <v>560</v>
      </c>
      <c r="C153" s="153">
        <v>4</v>
      </c>
      <c r="D153" s="81"/>
    </row>
    <row r="154" spans="1:4" x14ac:dyDescent="0.7">
      <c r="A154" s="133">
        <v>7</v>
      </c>
      <c r="B154" s="330" t="s">
        <v>625</v>
      </c>
      <c r="C154" s="153">
        <v>1</v>
      </c>
      <c r="D154" s="81"/>
    </row>
    <row r="155" spans="1:4" x14ac:dyDescent="0.7">
      <c r="A155" s="133">
        <f t="shared" si="9"/>
        <v>8</v>
      </c>
      <c r="B155" s="330" t="s">
        <v>601</v>
      </c>
      <c r="C155" s="153">
        <v>1</v>
      </c>
      <c r="D155" s="81"/>
    </row>
    <row r="156" spans="1:4" x14ac:dyDescent="0.7">
      <c r="A156" s="133">
        <f t="shared" si="9"/>
        <v>9</v>
      </c>
      <c r="B156" s="330" t="s">
        <v>627</v>
      </c>
      <c r="C156" s="153">
        <v>1</v>
      </c>
      <c r="D156" s="81"/>
    </row>
    <row r="157" spans="1:4" x14ac:dyDescent="0.7">
      <c r="A157" s="133">
        <f t="shared" si="9"/>
        <v>10</v>
      </c>
      <c r="B157" s="330" t="s">
        <v>561</v>
      </c>
      <c r="C157" s="153">
        <v>1</v>
      </c>
      <c r="D157" s="81"/>
    </row>
    <row r="158" spans="1:4" x14ac:dyDescent="0.7">
      <c r="A158" s="237">
        <v>17</v>
      </c>
      <c r="B158" s="238" t="s">
        <v>633</v>
      </c>
      <c r="C158" s="237" t="s">
        <v>22</v>
      </c>
      <c r="D158" s="237" t="s">
        <v>543</v>
      </c>
    </row>
    <row r="159" spans="1:4" x14ac:dyDescent="0.7">
      <c r="A159" s="133">
        <v>1</v>
      </c>
      <c r="B159" s="330" t="s">
        <v>559</v>
      </c>
      <c r="C159" s="153">
        <v>4</v>
      </c>
      <c r="D159" s="133"/>
    </row>
    <row r="160" spans="1:4" x14ac:dyDescent="0.7">
      <c r="A160" s="133">
        <f>+A159+1</f>
        <v>2</v>
      </c>
      <c r="B160" s="330" t="s">
        <v>552</v>
      </c>
      <c r="C160" s="153">
        <v>4</v>
      </c>
      <c r="D160" s="133"/>
    </row>
    <row r="161" spans="1:4" x14ac:dyDescent="0.7">
      <c r="A161" s="133">
        <f t="shared" ref="A161:A171" si="10">+A160+1</f>
        <v>3</v>
      </c>
      <c r="B161" s="330" t="s">
        <v>620</v>
      </c>
      <c r="C161" s="153">
        <v>4</v>
      </c>
      <c r="D161" s="81"/>
    </row>
    <row r="162" spans="1:4" x14ac:dyDescent="0.7">
      <c r="A162" s="133">
        <f t="shared" si="10"/>
        <v>4</v>
      </c>
      <c r="B162" s="330" t="s">
        <v>619</v>
      </c>
      <c r="C162" s="153">
        <v>4</v>
      </c>
      <c r="D162" s="81"/>
    </row>
    <row r="163" spans="1:4" x14ac:dyDescent="0.7">
      <c r="A163" s="133">
        <f t="shared" si="10"/>
        <v>5</v>
      </c>
      <c r="B163" s="330" t="s">
        <v>558</v>
      </c>
      <c r="C163" s="153">
        <v>8</v>
      </c>
      <c r="D163" s="81"/>
    </row>
    <row r="164" spans="1:4" x14ac:dyDescent="0.7">
      <c r="A164" s="133">
        <f t="shared" si="10"/>
        <v>6</v>
      </c>
      <c r="B164" s="330" t="s">
        <v>560</v>
      </c>
      <c r="C164" s="153">
        <v>48</v>
      </c>
      <c r="D164" s="81"/>
    </row>
    <row r="165" spans="1:4" x14ac:dyDescent="0.7">
      <c r="A165" s="133">
        <f t="shared" si="10"/>
        <v>7</v>
      </c>
      <c r="B165" s="330" t="s">
        <v>605</v>
      </c>
      <c r="C165" s="153">
        <v>4</v>
      </c>
      <c r="D165" s="81"/>
    </row>
    <row r="166" spans="1:4" x14ac:dyDescent="0.7">
      <c r="A166" s="133">
        <f t="shared" si="10"/>
        <v>8</v>
      </c>
      <c r="B166" s="330" t="s">
        <v>553</v>
      </c>
      <c r="C166" s="153">
        <v>8</v>
      </c>
      <c r="D166" s="81"/>
    </row>
    <row r="167" spans="1:4" x14ac:dyDescent="0.7">
      <c r="A167" s="133">
        <f t="shared" si="10"/>
        <v>9</v>
      </c>
      <c r="B167" s="159" t="s">
        <v>545</v>
      </c>
      <c r="C167" s="153">
        <v>8</v>
      </c>
      <c r="D167" s="81"/>
    </row>
    <row r="168" spans="1:4" x14ac:dyDescent="0.7">
      <c r="A168" s="133">
        <f>+A167+1</f>
        <v>10</v>
      </c>
      <c r="B168" s="330" t="s">
        <v>371</v>
      </c>
      <c r="C168" s="153">
        <v>8</v>
      </c>
      <c r="D168" s="81"/>
    </row>
    <row r="169" spans="1:4" x14ac:dyDescent="0.7">
      <c r="A169" s="133">
        <f t="shared" si="10"/>
        <v>11</v>
      </c>
      <c r="B169" s="330" t="s">
        <v>561</v>
      </c>
      <c r="C169" s="153">
        <v>4</v>
      </c>
      <c r="D169" s="81"/>
    </row>
    <row r="170" spans="1:4" x14ac:dyDescent="0.7">
      <c r="A170" s="133">
        <f t="shared" si="10"/>
        <v>12</v>
      </c>
      <c r="B170" s="330" t="s">
        <v>601</v>
      </c>
      <c r="C170" s="153">
        <v>4</v>
      </c>
      <c r="D170" s="133"/>
    </row>
    <row r="171" spans="1:4" x14ac:dyDescent="0.7">
      <c r="A171" s="133">
        <f t="shared" si="10"/>
        <v>13</v>
      </c>
      <c r="B171" s="330" t="s">
        <v>634</v>
      </c>
      <c r="C171" s="153">
        <v>2</v>
      </c>
      <c r="D171" s="133"/>
    </row>
    <row r="172" spans="1:4" x14ac:dyDescent="0.7">
      <c r="A172" s="237">
        <v>18</v>
      </c>
      <c r="B172" s="238" t="s">
        <v>635</v>
      </c>
      <c r="C172" s="237" t="s">
        <v>22</v>
      </c>
      <c r="D172" s="237" t="s">
        <v>543</v>
      </c>
    </row>
    <row r="173" spans="1:4" x14ac:dyDescent="0.7">
      <c r="A173" s="133">
        <v>1</v>
      </c>
      <c r="B173" s="330" t="s">
        <v>550</v>
      </c>
      <c r="C173" s="153">
        <v>6</v>
      </c>
      <c r="D173" s="133"/>
    </row>
    <row r="174" spans="1:4" x14ac:dyDescent="0.7">
      <c r="A174" s="133">
        <f t="shared" ref="A174:A182" si="11">+A173+1</f>
        <v>2</v>
      </c>
      <c r="B174" s="330" t="s">
        <v>552</v>
      </c>
      <c r="C174" s="153">
        <v>1</v>
      </c>
      <c r="D174" s="133"/>
    </row>
    <row r="175" spans="1:4" x14ac:dyDescent="0.7">
      <c r="A175" s="133">
        <f t="shared" si="11"/>
        <v>3</v>
      </c>
      <c r="B175" s="330" t="s">
        <v>620</v>
      </c>
      <c r="C175" s="153">
        <v>4</v>
      </c>
      <c r="D175" s="81"/>
    </row>
    <row r="176" spans="1:4" x14ac:dyDescent="0.7">
      <c r="A176" s="133">
        <f t="shared" si="11"/>
        <v>4</v>
      </c>
      <c r="B176" s="330" t="s">
        <v>619</v>
      </c>
      <c r="C176" s="153">
        <v>4</v>
      </c>
      <c r="D176" s="81"/>
    </row>
    <row r="177" spans="1:4" x14ac:dyDescent="0.7">
      <c r="A177" s="133">
        <f t="shared" si="11"/>
        <v>5</v>
      </c>
      <c r="B177" s="330" t="s">
        <v>558</v>
      </c>
      <c r="C177" s="153">
        <v>4</v>
      </c>
      <c r="D177" s="81"/>
    </row>
    <row r="178" spans="1:4" x14ac:dyDescent="0.7">
      <c r="A178" s="133">
        <f t="shared" si="11"/>
        <v>6</v>
      </c>
      <c r="B178" s="330" t="s">
        <v>560</v>
      </c>
      <c r="C178" s="153">
        <v>12</v>
      </c>
      <c r="D178" s="81"/>
    </row>
    <row r="179" spans="1:4" x14ac:dyDescent="0.7">
      <c r="A179" s="133">
        <f t="shared" si="11"/>
        <v>7</v>
      </c>
      <c r="B179" s="159" t="s">
        <v>562</v>
      </c>
      <c r="C179" s="153">
        <v>2</v>
      </c>
      <c r="D179" s="133"/>
    </row>
    <row r="180" spans="1:4" x14ac:dyDescent="0.7">
      <c r="A180" s="133">
        <f t="shared" si="11"/>
        <v>8</v>
      </c>
      <c r="B180" s="330" t="s">
        <v>627</v>
      </c>
      <c r="C180" s="153">
        <v>2</v>
      </c>
      <c r="D180" s="133"/>
    </row>
    <row r="181" spans="1:4" x14ac:dyDescent="0.7">
      <c r="A181" s="133">
        <f t="shared" si="11"/>
        <v>9</v>
      </c>
      <c r="B181" s="330" t="s">
        <v>601</v>
      </c>
      <c r="C181" s="153">
        <v>2</v>
      </c>
      <c r="D181" s="133"/>
    </row>
    <row r="182" spans="1:4" x14ac:dyDescent="0.7">
      <c r="A182" s="133">
        <f t="shared" si="11"/>
        <v>10</v>
      </c>
      <c r="B182" s="330" t="s">
        <v>566</v>
      </c>
      <c r="C182" s="153">
        <v>4</v>
      </c>
      <c r="D182" s="133"/>
    </row>
    <row r="183" spans="1:4" x14ac:dyDescent="0.7">
      <c r="A183" s="237">
        <v>18</v>
      </c>
      <c r="B183" s="238" t="s">
        <v>636</v>
      </c>
      <c r="C183" s="237" t="s">
        <v>22</v>
      </c>
      <c r="D183" s="237" t="s">
        <v>543</v>
      </c>
    </row>
    <row r="184" spans="1:4" x14ac:dyDescent="0.7">
      <c r="A184" s="133">
        <v>1</v>
      </c>
      <c r="B184" s="330" t="s">
        <v>557</v>
      </c>
      <c r="C184" s="153">
        <v>2</v>
      </c>
      <c r="D184" s="133"/>
    </row>
    <row r="185" spans="1:4" x14ac:dyDescent="0.7">
      <c r="A185" s="133">
        <f t="shared" ref="A185:A190" si="12">+A184+1</f>
        <v>2</v>
      </c>
      <c r="B185" s="330" t="s">
        <v>620</v>
      </c>
      <c r="C185" s="153">
        <v>2</v>
      </c>
      <c r="D185" s="81"/>
    </row>
    <row r="186" spans="1:4" x14ac:dyDescent="0.7">
      <c r="A186" s="133">
        <f t="shared" si="12"/>
        <v>3</v>
      </c>
      <c r="B186" s="330" t="s">
        <v>619</v>
      </c>
      <c r="C186" s="153">
        <v>2</v>
      </c>
      <c r="D186" s="81"/>
    </row>
    <row r="187" spans="1:4" x14ac:dyDescent="0.7">
      <c r="A187" s="133">
        <f t="shared" si="12"/>
        <v>4</v>
      </c>
      <c r="B187" s="330" t="s">
        <v>558</v>
      </c>
      <c r="C187" s="153">
        <v>2</v>
      </c>
      <c r="D187" s="81"/>
    </row>
    <row r="188" spans="1:4" x14ac:dyDescent="0.7">
      <c r="A188" s="133">
        <f t="shared" si="12"/>
        <v>5</v>
      </c>
      <c r="B188" s="330" t="s">
        <v>560</v>
      </c>
      <c r="C188" s="153">
        <v>10</v>
      </c>
      <c r="D188" s="81"/>
    </row>
    <row r="189" spans="1:4" x14ac:dyDescent="0.7">
      <c r="A189" s="133">
        <v>6</v>
      </c>
      <c r="B189" s="330" t="s">
        <v>553</v>
      </c>
      <c r="C189" s="153">
        <v>2</v>
      </c>
      <c r="D189" s="81"/>
    </row>
    <row r="190" spans="1:4" x14ac:dyDescent="0.7">
      <c r="A190" s="133">
        <f t="shared" si="12"/>
        <v>7</v>
      </c>
      <c r="B190" s="330" t="s">
        <v>566</v>
      </c>
      <c r="C190" s="153">
        <v>2</v>
      </c>
      <c r="D190" s="81"/>
    </row>
    <row r="191" spans="1:4" x14ac:dyDescent="0.7">
      <c r="A191" s="133">
        <f>+A190+1</f>
        <v>8</v>
      </c>
      <c r="B191" s="159" t="s">
        <v>562</v>
      </c>
      <c r="C191" s="153">
        <v>2</v>
      </c>
      <c r="D191" s="81"/>
    </row>
    <row r="192" spans="1:4" x14ac:dyDescent="0.7">
      <c r="A192" s="133"/>
      <c r="B192" s="330"/>
      <c r="C192" s="133"/>
      <c r="D192" s="133"/>
    </row>
    <row r="193" spans="1:4" x14ac:dyDescent="0.7">
      <c r="A193" s="237">
        <v>19</v>
      </c>
      <c r="B193" s="238" t="s">
        <v>637</v>
      </c>
      <c r="C193" s="237" t="s">
        <v>22</v>
      </c>
      <c r="D193" s="237" t="s">
        <v>543</v>
      </c>
    </row>
    <row r="194" spans="1:4" x14ac:dyDescent="0.7">
      <c r="A194" s="133">
        <v>1</v>
      </c>
      <c r="B194" s="330" t="s">
        <v>638</v>
      </c>
      <c r="C194" s="153">
        <v>16</v>
      </c>
      <c r="D194" s="133"/>
    </row>
    <row r="195" spans="1:4" x14ac:dyDescent="0.7">
      <c r="A195" s="133">
        <v>2</v>
      </c>
      <c r="B195" s="330" t="s">
        <v>626</v>
      </c>
      <c r="C195" s="153">
        <v>1</v>
      </c>
      <c r="D195" s="133"/>
    </row>
    <row r="196" spans="1:4" x14ac:dyDescent="0.7">
      <c r="A196" s="133">
        <v>3</v>
      </c>
      <c r="B196" s="330" t="s">
        <v>639</v>
      </c>
      <c r="C196" s="153">
        <v>2</v>
      </c>
      <c r="D196" s="133"/>
    </row>
    <row r="197" spans="1:4" x14ac:dyDescent="0.7">
      <c r="A197" s="133">
        <v>4</v>
      </c>
      <c r="B197" s="330" t="s">
        <v>166</v>
      </c>
      <c r="C197" s="153">
        <v>2</v>
      </c>
      <c r="D197" s="133"/>
    </row>
    <row r="198" spans="1:4" x14ac:dyDescent="0.7">
      <c r="A198" s="133">
        <v>5</v>
      </c>
      <c r="B198" s="330" t="s">
        <v>640</v>
      </c>
      <c r="C198" s="153">
        <v>4</v>
      </c>
      <c r="D198" s="133"/>
    </row>
    <row r="199" spans="1:4" x14ac:dyDescent="0.7">
      <c r="A199" s="133">
        <v>6</v>
      </c>
      <c r="B199" s="330" t="s">
        <v>641</v>
      </c>
      <c r="C199" s="153">
        <v>1</v>
      </c>
      <c r="D199" s="133"/>
    </row>
    <row r="200" spans="1:4" x14ac:dyDescent="0.7">
      <c r="C200" s="241">
        <f>SUM(C194:C199)</f>
        <v>26</v>
      </c>
    </row>
  </sheetData>
  <mergeCells count="2">
    <mergeCell ref="A1:D1"/>
    <mergeCell ref="G1:L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0FA21-08D1-4E40-9AC2-9C2BBAF3755A}">
  <sheetPr>
    <tabColor rgb="FF002060"/>
  </sheetPr>
  <dimension ref="A1:J46"/>
  <sheetViews>
    <sheetView view="pageBreakPreview" zoomScale="85" zoomScaleNormal="100" zoomScaleSheetLayoutView="85" workbookViewId="0">
      <pane ySplit="3" topLeftCell="A46" activePane="bottomLeft" state="frozen"/>
      <selection activeCell="D9" sqref="D9"/>
      <selection pane="bottomLeft" activeCell="H40" sqref="H40"/>
    </sheetView>
  </sheetViews>
  <sheetFormatPr defaultColWidth="8.6328125" defaultRowHeight="17" x14ac:dyDescent="0.7"/>
  <cols>
    <col min="1" max="1" width="4.54296875" style="90" bestFit="1" customWidth="1"/>
    <col min="2" max="2" width="21.08984375" style="76" bestFit="1" customWidth="1"/>
    <col min="3" max="3" width="4.6328125" style="151" bestFit="1" customWidth="1"/>
    <col min="4" max="4" width="4.7265625" style="151" bestFit="1" customWidth="1"/>
    <col min="5" max="5" width="4.08984375" style="151" bestFit="1" customWidth="1"/>
    <col min="6" max="6" width="6.54296875" style="151" bestFit="1" customWidth="1"/>
    <col min="7" max="7" width="7.54296875" style="151" bestFit="1" customWidth="1"/>
    <col min="8" max="8" width="8.7265625" style="151" bestFit="1" customWidth="1"/>
    <col min="9" max="9" width="8.08984375" style="151" bestFit="1" customWidth="1"/>
    <col min="10" max="10" width="16.7265625" style="76" bestFit="1" customWidth="1"/>
    <col min="11" max="16384" width="8.6328125" style="76"/>
  </cols>
  <sheetData>
    <row r="1" spans="1:10" ht="17.5" thickBot="1" x14ac:dyDescent="0.75">
      <c r="A1" s="381" t="s">
        <v>175</v>
      </c>
      <c r="B1" s="382"/>
      <c r="C1" s="382"/>
      <c r="D1" s="382"/>
      <c r="E1" s="382"/>
      <c r="F1" s="382"/>
      <c r="G1" s="382"/>
      <c r="H1" s="382"/>
      <c r="I1" s="382"/>
      <c r="J1" s="383"/>
    </row>
    <row r="2" spans="1:10" s="77" customFormat="1" ht="13.65" customHeight="1" x14ac:dyDescent="0.35">
      <c r="A2" s="377" t="s">
        <v>2</v>
      </c>
      <c r="B2" s="379" t="s">
        <v>158</v>
      </c>
      <c r="C2" s="379" t="s">
        <v>159</v>
      </c>
      <c r="D2" s="379" t="s">
        <v>160</v>
      </c>
      <c r="E2" s="379" t="s">
        <v>22</v>
      </c>
      <c r="F2" s="379" t="s">
        <v>161</v>
      </c>
      <c r="G2" s="379"/>
      <c r="H2" s="379"/>
      <c r="I2" s="373" t="s">
        <v>5</v>
      </c>
      <c r="J2" s="375" t="s">
        <v>8</v>
      </c>
    </row>
    <row r="3" spans="1:10" s="77" customFormat="1" x14ac:dyDescent="0.35">
      <c r="A3" s="378"/>
      <c r="B3" s="380"/>
      <c r="C3" s="380"/>
      <c r="D3" s="380"/>
      <c r="E3" s="380"/>
      <c r="F3" s="324" t="s">
        <v>162</v>
      </c>
      <c r="G3" s="324" t="s">
        <v>163</v>
      </c>
      <c r="H3" s="324" t="s">
        <v>164</v>
      </c>
      <c r="I3" s="374"/>
      <c r="J3" s="376"/>
    </row>
    <row r="4" spans="1:10" x14ac:dyDescent="0.7">
      <c r="A4" s="322" t="s">
        <v>176</v>
      </c>
      <c r="B4" s="173" t="s">
        <v>177</v>
      </c>
      <c r="C4" s="324"/>
      <c r="D4" s="324"/>
      <c r="E4" s="324"/>
      <c r="F4" s="324"/>
      <c r="G4" s="324"/>
      <c r="H4" s="324"/>
      <c r="I4" s="320"/>
      <c r="J4" s="321"/>
    </row>
    <row r="5" spans="1:10" x14ac:dyDescent="0.7">
      <c r="A5" s="84">
        <v>1</v>
      </c>
      <c r="B5" s="229" t="s">
        <v>178</v>
      </c>
      <c r="C5" s="79"/>
      <c r="D5" s="79"/>
      <c r="E5" s="79"/>
      <c r="F5" s="79"/>
      <c r="G5" s="79"/>
      <c r="H5" s="79"/>
      <c r="I5" s="79"/>
      <c r="J5" s="80"/>
    </row>
    <row r="6" spans="1:10" x14ac:dyDescent="0.7">
      <c r="A6" s="84"/>
      <c r="B6" s="157" t="s">
        <v>179</v>
      </c>
      <c r="C6" s="79"/>
      <c r="D6" s="79"/>
      <c r="E6" s="79">
        <v>1</v>
      </c>
      <c r="F6" s="82">
        <v>1.33</v>
      </c>
      <c r="G6" s="82"/>
      <c r="H6" s="82">
        <v>1.25</v>
      </c>
      <c r="I6" s="230">
        <f>PRODUCT(E6:H6)*30%</f>
        <v>0.49875000000000003</v>
      </c>
      <c r="J6" s="80" t="s">
        <v>180</v>
      </c>
    </row>
    <row r="7" spans="1:10" x14ac:dyDescent="0.7">
      <c r="A7" s="84">
        <v>2</v>
      </c>
      <c r="B7" s="229" t="s">
        <v>181</v>
      </c>
      <c r="C7" s="79"/>
      <c r="D7" s="79"/>
      <c r="E7" s="79"/>
      <c r="F7" s="82"/>
      <c r="G7" s="82"/>
      <c r="H7" s="82"/>
      <c r="I7" s="230"/>
      <c r="J7" s="80"/>
    </row>
    <row r="8" spans="1:10" x14ac:dyDescent="0.7">
      <c r="A8" s="84"/>
      <c r="B8" s="157" t="s">
        <v>182</v>
      </c>
      <c r="C8" s="79"/>
      <c r="D8" s="79"/>
      <c r="E8" s="79">
        <v>1</v>
      </c>
      <c r="F8" s="82">
        <v>1.24</v>
      </c>
      <c r="G8" s="82"/>
      <c r="H8" s="82">
        <v>1.31</v>
      </c>
      <c r="I8" s="230">
        <f>PRODUCT(E8:H8)*30%</f>
        <v>0.48731999999999998</v>
      </c>
      <c r="J8" s="80" t="s">
        <v>180</v>
      </c>
    </row>
    <row r="9" spans="1:10" x14ac:dyDescent="0.7">
      <c r="A9" s="84"/>
      <c r="B9" s="157" t="s">
        <v>183</v>
      </c>
      <c r="C9" s="79"/>
      <c r="D9" s="79"/>
      <c r="E9" s="79">
        <v>1</v>
      </c>
      <c r="F9" s="82">
        <v>1.83</v>
      </c>
      <c r="G9" s="82"/>
      <c r="H9" s="82">
        <v>1.26</v>
      </c>
      <c r="I9" s="230">
        <f>PRODUCT(E9:H9)*30%</f>
        <v>0.69174000000000002</v>
      </c>
      <c r="J9" s="80" t="s">
        <v>180</v>
      </c>
    </row>
    <row r="10" spans="1:10" x14ac:dyDescent="0.7">
      <c r="A10" s="84">
        <v>3</v>
      </c>
      <c r="B10" s="229" t="s">
        <v>171</v>
      </c>
      <c r="C10" s="79"/>
      <c r="D10" s="79"/>
      <c r="E10" s="79"/>
      <c r="F10" s="82"/>
      <c r="G10" s="82"/>
      <c r="H10" s="82"/>
      <c r="I10" s="230"/>
      <c r="J10" s="80"/>
    </row>
    <row r="11" spans="1:10" x14ac:dyDescent="0.7">
      <c r="A11" s="84"/>
      <c r="B11" s="157" t="s">
        <v>179</v>
      </c>
      <c r="C11" s="79"/>
      <c r="D11" s="79"/>
      <c r="E11" s="79">
        <v>1</v>
      </c>
      <c r="F11" s="82">
        <v>1.3</v>
      </c>
      <c r="G11" s="82"/>
      <c r="H11" s="82">
        <v>1.25</v>
      </c>
      <c r="I11" s="230">
        <f>PRODUCT(E11:H11)*30%</f>
        <v>0.48749999999999999</v>
      </c>
      <c r="J11" s="80" t="s">
        <v>180</v>
      </c>
    </row>
    <row r="12" spans="1:10" x14ac:dyDescent="0.7">
      <c r="A12" s="84">
        <v>4</v>
      </c>
      <c r="B12" s="229" t="s">
        <v>184</v>
      </c>
      <c r="C12" s="79"/>
      <c r="D12" s="79"/>
      <c r="E12" s="79"/>
      <c r="F12" s="82"/>
      <c r="G12" s="82"/>
      <c r="H12" s="82"/>
      <c r="I12" s="230"/>
      <c r="J12" s="80"/>
    </row>
    <row r="13" spans="1:10" x14ac:dyDescent="0.7">
      <c r="A13" s="84"/>
      <c r="B13" s="157" t="s">
        <v>179</v>
      </c>
      <c r="C13" s="79"/>
      <c r="D13" s="79"/>
      <c r="E13" s="79">
        <v>1</v>
      </c>
      <c r="F13" s="82">
        <v>1.33</v>
      </c>
      <c r="G13" s="82"/>
      <c r="H13" s="82">
        <v>1.25</v>
      </c>
      <c r="I13" s="230">
        <f>PRODUCT(E13:H13)*30%</f>
        <v>0.49875000000000003</v>
      </c>
      <c r="J13" s="80" t="s">
        <v>180</v>
      </c>
    </row>
    <row r="14" spans="1:10" x14ac:dyDescent="0.7">
      <c r="A14" s="84" t="s">
        <v>26</v>
      </c>
      <c r="B14" s="229" t="s">
        <v>185</v>
      </c>
      <c r="C14" s="79"/>
      <c r="D14" s="79"/>
      <c r="E14" s="79"/>
      <c r="F14" s="82"/>
      <c r="G14" s="82"/>
      <c r="H14" s="82"/>
      <c r="I14" s="230"/>
      <c r="J14" s="80"/>
    </row>
    <row r="15" spans="1:10" x14ac:dyDescent="0.7">
      <c r="A15" s="84">
        <v>1</v>
      </c>
      <c r="B15" s="229" t="s">
        <v>186</v>
      </c>
      <c r="C15" s="79"/>
      <c r="D15" s="79"/>
      <c r="E15" s="79"/>
      <c r="F15" s="82"/>
      <c r="G15" s="82"/>
      <c r="H15" s="82"/>
      <c r="I15" s="230"/>
      <c r="J15" s="80"/>
    </row>
    <row r="16" spans="1:10" x14ac:dyDescent="0.7">
      <c r="A16" s="84"/>
      <c r="B16" s="157" t="s">
        <v>179</v>
      </c>
      <c r="C16" s="79" t="s">
        <v>12</v>
      </c>
      <c r="D16" s="79" t="s">
        <v>187</v>
      </c>
      <c r="E16" s="79">
        <v>1</v>
      </c>
      <c r="F16" s="82">
        <v>1.25</v>
      </c>
      <c r="G16" s="82"/>
      <c r="H16" s="82">
        <v>1.29</v>
      </c>
      <c r="I16" s="230">
        <f>PRODUCT(E16:H16)*30%</f>
        <v>0.48375000000000001</v>
      </c>
      <c r="J16" s="80" t="s">
        <v>180</v>
      </c>
    </row>
    <row r="17" spans="1:10" x14ac:dyDescent="0.7">
      <c r="A17" s="84">
        <v>2</v>
      </c>
      <c r="B17" s="229" t="s">
        <v>188</v>
      </c>
      <c r="C17" s="79"/>
      <c r="D17" s="79"/>
      <c r="E17" s="79"/>
      <c r="F17" s="82"/>
      <c r="G17" s="82"/>
      <c r="H17" s="82"/>
      <c r="I17" s="230"/>
      <c r="J17" s="80"/>
    </row>
    <row r="18" spans="1:10" x14ac:dyDescent="0.7">
      <c r="A18" s="84"/>
      <c r="B18" s="157" t="s">
        <v>179</v>
      </c>
      <c r="C18" s="79" t="s">
        <v>12</v>
      </c>
      <c r="D18" s="79" t="s">
        <v>187</v>
      </c>
      <c r="E18" s="79">
        <v>1</v>
      </c>
      <c r="F18" s="82">
        <v>1.25</v>
      </c>
      <c r="G18" s="82"/>
      <c r="H18" s="82">
        <v>1.29</v>
      </c>
      <c r="I18" s="230">
        <f>PRODUCT(E18:H18)*30%</f>
        <v>0.48375000000000001</v>
      </c>
      <c r="J18" s="80" t="s">
        <v>180</v>
      </c>
    </row>
    <row r="19" spans="1:10" x14ac:dyDescent="0.7">
      <c r="A19" s="84">
        <v>3</v>
      </c>
      <c r="B19" s="229" t="s">
        <v>189</v>
      </c>
      <c r="C19" s="79"/>
      <c r="D19" s="79"/>
      <c r="E19" s="79"/>
      <c r="F19" s="82"/>
      <c r="G19" s="82"/>
      <c r="H19" s="82"/>
      <c r="I19" s="230"/>
      <c r="J19" s="80"/>
    </row>
    <row r="20" spans="1:10" x14ac:dyDescent="0.7">
      <c r="A20" s="84"/>
      <c r="B20" s="157" t="s">
        <v>179</v>
      </c>
      <c r="C20" s="79" t="s">
        <v>12</v>
      </c>
      <c r="D20" s="79" t="s">
        <v>187</v>
      </c>
      <c r="E20" s="79">
        <v>1</v>
      </c>
      <c r="F20" s="82">
        <v>1.81</v>
      </c>
      <c r="G20" s="82"/>
      <c r="H20" s="82">
        <v>1.25</v>
      </c>
      <c r="I20" s="230">
        <f>PRODUCT(E20:H20)*30%</f>
        <v>0.67875000000000008</v>
      </c>
      <c r="J20" s="80" t="s">
        <v>180</v>
      </c>
    </row>
    <row r="21" spans="1:10" x14ac:dyDescent="0.7">
      <c r="A21" s="84">
        <v>4</v>
      </c>
      <c r="B21" s="229" t="s">
        <v>190</v>
      </c>
      <c r="C21" s="79"/>
      <c r="D21" s="79"/>
      <c r="E21" s="79"/>
      <c r="F21" s="82"/>
      <c r="G21" s="82"/>
      <c r="H21" s="82"/>
      <c r="I21" s="230"/>
      <c r="J21" s="80"/>
    </row>
    <row r="22" spans="1:10" x14ac:dyDescent="0.7">
      <c r="A22" s="84"/>
      <c r="B22" s="157" t="s">
        <v>191</v>
      </c>
      <c r="C22" s="79" t="s">
        <v>12</v>
      </c>
      <c r="D22" s="79" t="s">
        <v>187</v>
      </c>
      <c r="E22" s="79">
        <v>1</v>
      </c>
      <c r="F22" s="82">
        <v>1.81</v>
      </c>
      <c r="G22" s="82"/>
      <c r="H22" s="82">
        <v>1.25</v>
      </c>
      <c r="I22" s="230">
        <f>PRODUCT(E22:H22)*30%</f>
        <v>0.67875000000000008</v>
      </c>
      <c r="J22" s="80" t="s">
        <v>180</v>
      </c>
    </row>
    <row r="23" spans="1:10" x14ac:dyDescent="0.7">
      <c r="A23" s="84"/>
      <c r="B23" s="157" t="s">
        <v>182</v>
      </c>
      <c r="C23" s="79" t="s">
        <v>12</v>
      </c>
      <c r="D23" s="79"/>
      <c r="E23" s="79">
        <v>1</v>
      </c>
      <c r="F23" s="82">
        <v>1.3</v>
      </c>
      <c r="G23" s="82"/>
      <c r="H23" s="82">
        <v>1.25</v>
      </c>
      <c r="I23" s="230">
        <f>PRODUCT(E23:H23)*30%</f>
        <v>0.48749999999999999</v>
      </c>
      <c r="J23" s="80" t="s">
        <v>180</v>
      </c>
    </row>
    <row r="24" spans="1:10" x14ac:dyDescent="0.7">
      <c r="A24" s="84">
        <v>5</v>
      </c>
      <c r="B24" s="229" t="s">
        <v>192</v>
      </c>
      <c r="C24" s="79"/>
      <c r="D24" s="79"/>
      <c r="E24" s="79"/>
      <c r="F24" s="82"/>
      <c r="G24" s="82"/>
      <c r="H24" s="82"/>
      <c r="I24" s="230"/>
      <c r="J24" s="80"/>
    </row>
    <row r="25" spans="1:10" x14ac:dyDescent="0.7">
      <c r="A25" s="84"/>
      <c r="B25" s="157" t="s">
        <v>191</v>
      </c>
      <c r="C25" s="79" t="s">
        <v>12</v>
      </c>
      <c r="D25" s="79" t="s">
        <v>187</v>
      </c>
      <c r="E25" s="79">
        <v>1</v>
      </c>
      <c r="F25" s="82">
        <v>1.82</v>
      </c>
      <c r="G25" s="82"/>
      <c r="H25" s="82">
        <v>1.25</v>
      </c>
      <c r="I25" s="230">
        <f>PRODUCT(E25:H25)*30%</f>
        <v>0.6825</v>
      </c>
      <c r="J25" s="80" t="s">
        <v>180</v>
      </c>
    </row>
    <row r="26" spans="1:10" x14ac:dyDescent="0.7">
      <c r="A26" s="84"/>
      <c r="B26" s="157" t="s">
        <v>182</v>
      </c>
      <c r="C26" s="79" t="s">
        <v>12</v>
      </c>
      <c r="D26" s="79"/>
      <c r="E26" s="79">
        <v>1</v>
      </c>
      <c r="F26" s="82">
        <v>1.3</v>
      </c>
      <c r="G26" s="82"/>
      <c r="H26" s="82">
        <v>1.25</v>
      </c>
      <c r="I26" s="230">
        <f>PRODUCT(E26:H26)*30%</f>
        <v>0.48749999999999999</v>
      </c>
      <c r="J26" s="80" t="s">
        <v>180</v>
      </c>
    </row>
    <row r="27" spans="1:10" x14ac:dyDescent="0.7">
      <c r="A27" s="84">
        <v>6</v>
      </c>
      <c r="B27" s="229" t="s">
        <v>193</v>
      </c>
      <c r="C27" s="79"/>
      <c r="D27" s="79"/>
      <c r="E27" s="79"/>
      <c r="F27" s="82"/>
      <c r="G27" s="82"/>
      <c r="H27" s="82"/>
      <c r="I27" s="230"/>
      <c r="J27" s="80"/>
    </row>
    <row r="28" spans="1:10" x14ac:dyDescent="0.7">
      <c r="A28" s="84"/>
      <c r="B28" s="157" t="s">
        <v>191</v>
      </c>
      <c r="C28" s="79" t="s">
        <v>12</v>
      </c>
      <c r="D28" s="79" t="s">
        <v>187</v>
      </c>
      <c r="E28" s="79">
        <v>1</v>
      </c>
      <c r="F28" s="82">
        <v>1.31</v>
      </c>
      <c r="G28" s="82"/>
      <c r="H28" s="82">
        <v>1.33</v>
      </c>
      <c r="I28" s="230">
        <f>PRODUCT(E28:H28)*30%</f>
        <v>0.52268999999999999</v>
      </c>
      <c r="J28" s="80" t="s">
        <v>180</v>
      </c>
    </row>
    <row r="29" spans="1:10" x14ac:dyDescent="0.7">
      <c r="A29" s="84"/>
      <c r="B29" s="157" t="s">
        <v>182</v>
      </c>
      <c r="C29" s="79" t="s">
        <v>12</v>
      </c>
      <c r="D29" s="79" t="s">
        <v>187</v>
      </c>
      <c r="E29" s="79">
        <v>1</v>
      </c>
      <c r="F29" s="82">
        <v>1.2649999999999999</v>
      </c>
      <c r="G29" s="82"/>
      <c r="H29" s="82">
        <v>1.81</v>
      </c>
      <c r="I29" s="230">
        <f>PRODUCT(E29:H29)*30%</f>
        <v>0.68689499999999992</v>
      </c>
      <c r="J29" s="80" t="s">
        <v>180</v>
      </c>
    </row>
    <row r="30" spans="1:10" x14ac:dyDescent="0.7">
      <c r="A30" s="84" t="s">
        <v>32</v>
      </c>
      <c r="B30" s="229" t="s">
        <v>194</v>
      </c>
      <c r="C30" s="79"/>
      <c r="D30" s="79"/>
      <c r="E30" s="79"/>
      <c r="F30" s="82"/>
      <c r="G30" s="82"/>
      <c r="H30" s="82"/>
      <c r="I30" s="230"/>
      <c r="J30" s="80"/>
    </row>
    <row r="31" spans="1:10" x14ac:dyDescent="0.7">
      <c r="A31" s="84"/>
      <c r="B31" s="157" t="s">
        <v>179</v>
      </c>
      <c r="C31" s="133" t="s">
        <v>12</v>
      </c>
      <c r="D31" s="133" t="s">
        <v>187</v>
      </c>
      <c r="E31" s="79">
        <v>1</v>
      </c>
      <c r="F31" s="230">
        <v>1.03</v>
      </c>
      <c r="G31" s="230"/>
      <c r="H31" s="230">
        <v>0.97</v>
      </c>
      <c r="I31" s="230">
        <f>PRODUCT(E31:H31)*30%</f>
        <v>0.29973</v>
      </c>
      <c r="J31" s="80" t="s">
        <v>180</v>
      </c>
    </row>
    <row r="32" spans="1:10" x14ac:dyDescent="0.7">
      <c r="A32" s="84" t="s">
        <v>195</v>
      </c>
      <c r="B32" s="229" t="s">
        <v>196</v>
      </c>
      <c r="C32" s="133"/>
      <c r="D32" s="133"/>
      <c r="E32" s="133"/>
      <c r="F32" s="230"/>
      <c r="G32" s="230"/>
      <c r="H32" s="230"/>
      <c r="I32" s="230"/>
      <c r="J32" s="80"/>
    </row>
    <row r="33" spans="1:10" x14ac:dyDescent="0.7">
      <c r="A33" s="84"/>
      <c r="B33" s="157" t="s">
        <v>179</v>
      </c>
      <c r="C33" s="133" t="s">
        <v>12</v>
      </c>
      <c r="D33" s="133" t="s">
        <v>187</v>
      </c>
      <c r="E33" s="133">
        <v>3</v>
      </c>
      <c r="F33" s="230">
        <v>1.01</v>
      </c>
      <c r="G33" s="230"/>
      <c r="H33" s="230">
        <v>1.18</v>
      </c>
      <c r="I33" s="230">
        <f>PRODUCT(E33:H33)*30%</f>
        <v>1.0726199999999999</v>
      </c>
      <c r="J33" s="80" t="s">
        <v>180</v>
      </c>
    </row>
    <row r="34" spans="1:10" x14ac:dyDescent="0.7">
      <c r="A34" s="84" t="s">
        <v>43</v>
      </c>
      <c r="B34" s="229" t="s">
        <v>197</v>
      </c>
      <c r="C34" s="133"/>
      <c r="D34" s="133"/>
      <c r="E34" s="133"/>
      <c r="F34" s="230"/>
      <c r="G34" s="230"/>
      <c r="H34" s="230"/>
      <c r="I34" s="230"/>
      <c r="J34" s="80"/>
    </row>
    <row r="35" spans="1:10" x14ac:dyDescent="0.7">
      <c r="A35" s="84"/>
      <c r="B35" s="157" t="s">
        <v>179</v>
      </c>
      <c r="C35" s="133" t="s">
        <v>12</v>
      </c>
      <c r="D35" s="133" t="s">
        <v>187</v>
      </c>
      <c r="E35" s="133">
        <v>4</v>
      </c>
      <c r="F35" s="230">
        <v>0.7</v>
      </c>
      <c r="G35" s="230"/>
      <c r="H35" s="230">
        <v>1.2</v>
      </c>
      <c r="I35" s="230">
        <f>PRODUCT(E35:H35)</f>
        <v>3.36</v>
      </c>
      <c r="J35" s="80"/>
    </row>
    <row r="36" spans="1:10" x14ac:dyDescent="0.7">
      <c r="A36" s="84"/>
      <c r="B36" s="157" t="s">
        <v>179</v>
      </c>
      <c r="C36" s="133" t="s">
        <v>12</v>
      </c>
      <c r="D36" s="133" t="s">
        <v>187</v>
      </c>
      <c r="E36" s="133">
        <v>2</v>
      </c>
      <c r="F36" s="230">
        <v>0.9</v>
      </c>
      <c r="G36" s="230"/>
      <c r="H36" s="230">
        <v>2.13</v>
      </c>
      <c r="I36" s="230">
        <f>PRODUCT(E36:H36)</f>
        <v>3.8340000000000001</v>
      </c>
      <c r="J36" s="80"/>
    </row>
    <row r="37" spans="1:10" x14ac:dyDescent="0.7">
      <c r="A37" s="84"/>
      <c r="B37" s="157" t="s">
        <v>179</v>
      </c>
      <c r="C37" s="133" t="s">
        <v>12</v>
      </c>
      <c r="D37" s="133" t="s">
        <v>187</v>
      </c>
      <c r="E37" s="133">
        <v>2</v>
      </c>
      <c r="F37" s="230">
        <v>0.63</v>
      </c>
      <c r="G37" s="230"/>
      <c r="H37" s="230">
        <v>1.2</v>
      </c>
      <c r="I37" s="230">
        <f>PRODUCT(E37:H37)</f>
        <v>1.512</v>
      </c>
      <c r="J37" s="80"/>
    </row>
    <row r="38" spans="1:10" x14ac:dyDescent="0.7">
      <c r="A38" s="84" t="s">
        <v>65</v>
      </c>
      <c r="B38" s="229" t="s">
        <v>198</v>
      </c>
      <c r="C38" s="133"/>
      <c r="D38" s="133"/>
      <c r="E38" s="133"/>
      <c r="F38" s="230"/>
      <c r="G38" s="230"/>
      <c r="H38" s="230"/>
      <c r="I38" s="230"/>
      <c r="J38" s="80"/>
    </row>
    <row r="39" spans="1:10" x14ac:dyDescent="0.7">
      <c r="A39" s="84"/>
      <c r="B39" s="157" t="s">
        <v>179</v>
      </c>
      <c r="C39" s="133" t="s">
        <v>12</v>
      </c>
      <c r="D39" s="133" t="s">
        <v>187</v>
      </c>
      <c r="E39" s="133">
        <v>1</v>
      </c>
      <c r="F39" s="230">
        <v>1.19</v>
      </c>
      <c r="G39" s="230"/>
      <c r="H39" s="230">
        <v>1.1599999999999999</v>
      </c>
      <c r="I39" s="230">
        <f>PRODUCT(E39:H39)</f>
        <v>1.3803999999999998</v>
      </c>
      <c r="J39" s="80"/>
    </row>
    <row r="40" spans="1:10" x14ac:dyDescent="0.7">
      <c r="A40" s="84" t="s">
        <v>70</v>
      </c>
      <c r="B40" s="229" t="s">
        <v>199</v>
      </c>
      <c r="C40" s="133"/>
      <c r="D40" s="133"/>
      <c r="E40" s="133"/>
      <c r="F40" s="230"/>
      <c r="G40" s="230"/>
      <c r="H40" s="230"/>
      <c r="I40" s="230"/>
      <c r="J40" s="80"/>
    </row>
    <row r="41" spans="1:10" x14ac:dyDescent="0.7">
      <c r="A41" s="84"/>
      <c r="B41" s="157" t="s">
        <v>191</v>
      </c>
      <c r="C41" s="133" t="s">
        <v>12</v>
      </c>
      <c r="D41" s="133" t="s">
        <v>187</v>
      </c>
      <c r="E41" s="133">
        <v>2</v>
      </c>
      <c r="F41" s="230">
        <v>0.91</v>
      </c>
      <c r="G41" s="230"/>
      <c r="H41" s="230">
        <v>0.96499999999999997</v>
      </c>
      <c r="I41" s="230">
        <f>PRODUCT(E41:H41)</f>
        <v>1.7563</v>
      </c>
      <c r="J41" s="80"/>
    </row>
    <row r="42" spans="1:10" x14ac:dyDescent="0.7">
      <c r="A42" s="84"/>
      <c r="B42" s="157" t="s">
        <v>182</v>
      </c>
      <c r="C42" s="133" t="s">
        <v>12</v>
      </c>
      <c r="D42" s="133" t="s">
        <v>187</v>
      </c>
      <c r="E42" s="133">
        <v>1</v>
      </c>
      <c r="F42" s="230">
        <v>1</v>
      </c>
      <c r="G42" s="230"/>
      <c r="H42" s="230">
        <v>1.2</v>
      </c>
      <c r="I42" s="230">
        <f>PRODUCT(E42:H42)</f>
        <v>1.2</v>
      </c>
      <c r="J42" s="80"/>
    </row>
    <row r="43" spans="1:10" x14ac:dyDescent="0.7">
      <c r="A43" s="84" t="s">
        <v>73</v>
      </c>
      <c r="B43" s="229" t="s">
        <v>200</v>
      </c>
      <c r="C43" s="133"/>
      <c r="D43" s="133"/>
      <c r="E43" s="133"/>
      <c r="F43" s="230"/>
      <c r="G43" s="230"/>
      <c r="H43" s="230"/>
      <c r="I43" s="230"/>
      <c r="J43" s="80"/>
    </row>
    <row r="44" spans="1:10" x14ac:dyDescent="0.7">
      <c r="A44" s="84"/>
      <c r="B44" s="81" t="s">
        <v>201</v>
      </c>
      <c r="C44" s="133" t="s">
        <v>12</v>
      </c>
      <c r="D44" s="133" t="s">
        <v>187</v>
      </c>
      <c r="E44" s="133">
        <v>2</v>
      </c>
      <c r="F44" s="230">
        <v>1.1000000000000001</v>
      </c>
      <c r="G44" s="230"/>
      <c r="H44" s="230">
        <v>1.25</v>
      </c>
      <c r="I44" s="230">
        <f>PRODUCT(E44:H44)</f>
        <v>2.75</v>
      </c>
      <c r="J44" s="80"/>
    </row>
    <row r="45" spans="1:10" x14ac:dyDescent="0.7">
      <c r="A45" s="84"/>
      <c r="B45" s="81" t="s">
        <v>182</v>
      </c>
      <c r="C45" s="133" t="s">
        <v>12</v>
      </c>
      <c r="D45" s="133" t="s">
        <v>187</v>
      </c>
      <c r="E45" s="133">
        <v>2</v>
      </c>
      <c r="F45" s="230">
        <v>1.17</v>
      </c>
      <c r="G45" s="230"/>
      <c r="H45" s="230">
        <v>1.1200000000000001</v>
      </c>
      <c r="I45" s="230">
        <f>PRODUCT(E45:H45)</f>
        <v>2.6208</v>
      </c>
      <c r="J45" s="80"/>
    </row>
    <row r="46" spans="1:10" ht="17.5" thickBot="1" x14ac:dyDescent="0.75">
      <c r="A46" s="169"/>
      <c r="B46" s="86"/>
      <c r="C46" s="170"/>
      <c r="D46" s="170"/>
      <c r="E46" s="170"/>
      <c r="F46" s="471"/>
      <c r="G46" s="471"/>
      <c r="H46" s="472" t="s">
        <v>174</v>
      </c>
      <c r="I46" s="231">
        <f>SUM(I4:I45)</f>
        <v>27.641994999999998</v>
      </c>
      <c r="J46" s="89"/>
    </row>
  </sheetData>
  <mergeCells count="9">
    <mergeCell ref="A1:J1"/>
    <mergeCell ref="A2:A3"/>
    <mergeCell ref="J2:J3"/>
    <mergeCell ref="B2:B3"/>
    <mergeCell ref="C2:C3"/>
    <mergeCell ref="D2:D3"/>
    <mergeCell ref="E2:E3"/>
    <mergeCell ref="F2:H2"/>
    <mergeCell ref="I2:I3"/>
  </mergeCells>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FE853-F23A-4A8D-8022-B69C682777EB}">
  <sheetPr>
    <tabColor rgb="FF002060"/>
  </sheetPr>
  <dimension ref="A1:J20"/>
  <sheetViews>
    <sheetView view="pageBreakPreview" zoomScale="60" zoomScaleNormal="100" workbookViewId="0">
      <pane ySplit="3" topLeftCell="A4" activePane="bottomLeft" state="frozen"/>
      <selection activeCell="D9" sqref="D9"/>
      <selection pane="bottomLeft" activeCell="S19" sqref="S19"/>
    </sheetView>
  </sheetViews>
  <sheetFormatPr defaultColWidth="8.6328125" defaultRowHeight="17" x14ac:dyDescent="0.7"/>
  <cols>
    <col min="1" max="1" width="5.36328125" style="90" bestFit="1" customWidth="1"/>
    <col min="2" max="2" width="22.90625" style="76" bestFit="1" customWidth="1"/>
    <col min="3" max="3" width="9.36328125" style="90" customWidth="1"/>
    <col min="4" max="4" width="9.36328125" style="151" customWidth="1"/>
    <col min="5" max="5" width="8.6328125" style="76"/>
    <col min="6" max="8" width="12.36328125" style="76" customWidth="1"/>
    <col min="9" max="9" width="9.36328125" style="90" customWidth="1"/>
    <col min="10" max="10" width="11" style="76" bestFit="1" customWidth="1"/>
    <col min="11" max="16384" width="8.6328125" style="76"/>
  </cols>
  <sheetData>
    <row r="1" spans="1:10" x14ac:dyDescent="0.7">
      <c r="A1" s="384" t="s">
        <v>25</v>
      </c>
      <c r="B1" s="385"/>
      <c r="C1" s="385"/>
      <c r="D1" s="385"/>
      <c r="E1" s="385"/>
      <c r="F1" s="385"/>
      <c r="G1" s="385"/>
      <c r="H1" s="385"/>
      <c r="I1" s="385"/>
      <c r="J1" s="386"/>
    </row>
    <row r="2" spans="1:10" s="77" customFormat="1" x14ac:dyDescent="0.35">
      <c r="A2" s="378" t="s">
        <v>2</v>
      </c>
      <c r="B2" s="380" t="s">
        <v>158</v>
      </c>
      <c r="C2" s="380" t="s">
        <v>159</v>
      </c>
      <c r="D2" s="380" t="s">
        <v>160</v>
      </c>
      <c r="E2" s="380" t="s">
        <v>22</v>
      </c>
      <c r="F2" s="380" t="s">
        <v>161</v>
      </c>
      <c r="G2" s="380"/>
      <c r="H2" s="380"/>
      <c r="I2" s="374" t="s">
        <v>5</v>
      </c>
      <c r="J2" s="376" t="s">
        <v>8</v>
      </c>
    </row>
    <row r="3" spans="1:10" s="77" customFormat="1" x14ac:dyDescent="0.35">
      <c r="A3" s="378"/>
      <c r="B3" s="380"/>
      <c r="C3" s="380"/>
      <c r="D3" s="380"/>
      <c r="E3" s="380"/>
      <c r="F3" s="324" t="s">
        <v>162</v>
      </c>
      <c r="G3" s="324" t="s">
        <v>163</v>
      </c>
      <c r="H3" s="324" t="s">
        <v>164</v>
      </c>
      <c r="I3" s="374"/>
      <c r="J3" s="376"/>
    </row>
    <row r="4" spans="1:10" x14ac:dyDescent="0.7">
      <c r="A4" s="338">
        <v>1</v>
      </c>
      <c r="B4" s="109" t="s">
        <v>177</v>
      </c>
      <c r="C4" s="79"/>
      <c r="D4" s="133"/>
      <c r="E4" s="79"/>
      <c r="F4" s="81"/>
      <c r="G4" s="81"/>
      <c r="H4" s="81"/>
      <c r="I4" s="79"/>
      <c r="J4" s="80"/>
    </row>
    <row r="5" spans="1:10" x14ac:dyDescent="0.7">
      <c r="A5" s="338" t="s">
        <v>99</v>
      </c>
      <c r="B5" s="81" t="s">
        <v>171</v>
      </c>
      <c r="C5" s="79" t="s">
        <v>22</v>
      </c>
      <c r="D5" s="133" t="s">
        <v>167</v>
      </c>
      <c r="E5" s="79">
        <v>1</v>
      </c>
      <c r="F5" s="81">
        <v>1.4</v>
      </c>
      <c r="G5" s="81"/>
      <c r="H5" s="81">
        <v>2.2999999999999998</v>
      </c>
      <c r="I5" s="79">
        <f>E5*F5*H5</f>
        <v>3.2199999999999998</v>
      </c>
      <c r="J5" s="80"/>
    </row>
    <row r="6" spans="1:10" x14ac:dyDescent="0.7">
      <c r="A6" s="338" t="s">
        <v>101</v>
      </c>
      <c r="B6" s="81" t="s">
        <v>202</v>
      </c>
      <c r="C6" s="79" t="s">
        <v>22</v>
      </c>
      <c r="D6" s="133" t="s">
        <v>167</v>
      </c>
      <c r="E6" s="79">
        <v>1</v>
      </c>
      <c r="F6" s="81">
        <v>1.4</v>
      </c>
      <c r="G6" s="81"/>
      <c r="H6" s="81">
        <v>1.4</v>
      </c>
      <c r="I6" s="79">
        <f t="shared" ref="I6:I19" si="0">E6*F6*H6</f>
        <v>1.9599999999999997</v>
      </c>
      <c r="J6" s="80"/>
    </row>
    <row r="7" spans="1:10" x14ac:dyDescent="0.7">
      <c r="A7" s="338" t="s">
        <v>103</v>
      </c>
      <c r="B7" s="81" t="s">
        <v>203</v>
      </c>
      <c r="C7" s="79" t="s">
        <v>22</v>
      </c>
      <c r="D7" s="133" t="s">
        <v>167</v>
      </c>
      <c r="E7" s="79">
        <v>2</v>
      </c>
      <c r="F7" s="81">
        <v>1.3</v>
      </c>
      <c r="G7" s="81"/>
      <c r="H7" s="81">
        <v>1.4</v>
      </c>
      <c r="I7" s="79">
        <f t="shared" si="0"/>
        <v>3.6399999999999997</v>
      </c>
      <c r="J7" s="80"/>
    </row>
    <row r="8" spans="1:10" x14ac:dyDescent="0.7">
      <c r="A8" s="338"/>
      <c r="B8" s="81"/>
      <c r="C8" s="79" t="s">
        <v>22</v>
      </c>
      <c r="D8" s="133" t="s">
        <v>167</v>
      </c>
      <c r="E8" s="79">
        <v>1</v>
      </c>
      <c r="F8" s="81">
        <v>1.9</v>
      </c>
      <c r="G8" s="81"/>
      <c r="H8" s="81">
        <v>1.3</v>
      </c>
      <c r="I8" s="79">
        <f t="shared" si="0"/>
        <v>2.4699999999999998</v>
      </c>
      <c r="J8" s="80"/>
    </row>
    <row r="9" spans="1:10" x14ac:dyDescent="0.7">
      <c r="A9" s="338" t="s">
        <v>105</v>
      </c>
      <c r="B9" s="81" t="s">
        <v>204</v>
      </c>
      <c r="C9" s="79" t="s">
        <v>22</v>
      </c>
      <c r="D9" s="133" t="s">
        <v>167</v>
      </c>
      <c r="E9" s="79">
        <v>4</v>
      </c>
      <c r="F9" s="81">
        <v>1.2</v>
      </c>
      <c r="G9" s="81"/>
      <c r="H9" s="81">
        <v>1.7</v>
      </c>
      <c r="I9" s="79">
        <f t="shared" si="0"/>
        <v>8.16</v>
      </c>
      <c r="J9" s="80"/>
    </row>
    <row r="10" spans="1:10" x14ac:dyDescent="0.7">
      <c r="A10" s="338">
        <v>1</v>
      </c>
      <c r="B10" s="109" t="s">
        <v>185</v>
      </c>
      <c r="C10" s="79"/>
      <c r="D10" s="133"/>
      <c r="E10" s="79"/>
      <c r="F10" s="81"/>
      <c r="G10" s="81"/>
      <c r="H10" s="81"/>
      <c r="I10" s="79">
        <f t="shared" si="0"/>
        <v>0</v>
      </c>
      <c r="J10" s="80"/>
    </row>
    <row r="11" spans="1:10" x14ac:dyDescent="0.7">
      <c r="A11" s="338" t="s">
        <v>99</v>
      </c>
      <c r="B11" s="81" t="s">
        <v>205</v>
      </c>
      <c r="C11" s="79" t="s">
        <v>22</v>
      </c>
      <c r="D11" s="133" t="s">
        <v>167</v>
      </c>
      <c r="E11" s="79">
        <v>1</v>
      </c>
      <c r="F11" s="81">
        <v>1.4</v>
      </c>
      <c r="G11" s="81"/>
      <c r="H11" s="81">
        <v>1.3</v>
      </c>
      <c r="I11" s="79">
        <f t="shared" si="0"/>
        <v>1.8199999999999998</v>
      </c>
      <c r="J11" s="80"/>
    </row>
    <row r="12" spans="1:10" x14ac:dyDescent="0.7">
      <c r="A12" s="338" t="s">
        <v>101</v>
      </c>
      <c r="B12" s="81" t="s">
        <v>206</v>
      </c>
      <c r="C12" s="79" t="s">
        <v>22</v>
      </c>
      <c r="D12" s="133" t="s">
        <v>167</v>
      </c>
      <c r="E12" s="79">
        <v>1</v>
      </c>
      <c r="F12" s="81">
        <v>1.4</v>
      </c>
      <c r="G12" s="81"/>
      <c r="H12" s="81">
        <v>1.3</v>
      </c>
      <c r="I12" s="79">
        <f t="shared" si="0"/>
        <v>1.8199999999999998</v>
      </c>
      <c r="J12" s="80"/>
    </row>
    <row r="13" spans="1:10" x14ac:dyDescent="0.7">
      <c r="A13" s="338" t="s">
        <v>103</v>
      </c>
      <c r="B13" s="81" t="s">
        <v>207</v>
      </c>
      <c r="C13" s="79" t="s">
        <v>22</v>
      </c>
      <c r="D13" s="133" t="s">
        <v>167</v>
      </c>
      <c r="E13" s="79">
        <v>1</v>
      </c>
      <c r="F13" s="81">
        <v>1.9</v>
      </c>
      <c r="G13" s="81"/>
      <c r="H13" s="81">
        <v>1.3</v>
      </c>
      <c r="I13" s="79">
        <f t="shared" si="0"/>
        <v>2.4699999999999998</v>
      </c>
      <c r="J13" s="80"/>
    </row>
    <row r="14" spans="1:10" x14ac:dyDescent="0.7">
      <c r="A14" s="338" t="s">
        <v>105</v>
      </c>
      <c r="B14" s="81" t="s">
        <v>208</v>
      </c>
      <c r="C14" s="79" t="s">
        <v>22</v>
      </c>
      <c r="D14" s="133" t="s">
        <v>167</v>
      </c>
      <c r="E14" s="79">
        <v>1</v>
      </c>
      <c r="F14" s="81">
        <v>1.9</v>
      </c>
      <c r="G14" s="81"/>
      <c r="H14" s="81">
        <v>1.3</v>
      </c>
      <c r="I14" s="79">
        <f t="shared" si="0"/>
        <v>2.4699999999999998</v>
      </c>
      <c r="J14" s="80"/>
    </row>
    <row r="15" spans="1:10" x14ac:dyDescent="0.7">
      <c r="A15" s="338"/>
      <c r="B15" s="81"/>
      <c r="C15" s="79" t="s">
        <v>22</v>
      </c>
      <c r="D15" s="133" t="s">
        <v>167</v>
      </c>
      <c r="E15" s="79">
        <v>1</v>
      </c>
      <c r="F15" s="81">
        <v>1.3</v>
      </c>
      <c r="G15" s="81"/>
      <c r="H15" s="81">
        <v>1.3</v>
      </c>
      <c r="I15" s="79">
        <f t="shared" si="0"/>
        <v>1.6900000000000002</v>
      </c>
      <c r="J15" s="80"/>
    </row>
    <row r="16" spans="1:10" x14ac:dyDescent="0.7">
      <c r="A16" s="338" t="s">
        <v>107</v>
      </c>
      <c r="B16" s="81" t="s">
        <v>209</v>
      </c>
      <c r="C16" s="79" t="s">
        <v>22</v>
      </c>
      <c r="D16" s="133" t="s">
        <v>167</v>
      </c>
      <c r="E16" s="79">
        <v>1</v>
      </c>
      <c r="F16" s="81">
        <v>1.3</v>
      </c>
      <c r="G16" s="81"/>
      <c r="H16" s="81">
        <v>1.3</v>
      </c>
      <c r="I16" s="79">
        <f t="shared" si="0"/>
        <v>1.6900000000000002</v>
      </c>
      <c r="J16" s="80"/>
    </row>
    <row r="17" spans="1:10" x14ac:dyDescent="0.7">
      <c r="A17" s="338" t="s">
        <v>109</v>
      </c>
      <c r="B17" s="81"/>
      <c r="C17" s="79" t="s">
        <v>22</v>
      </c>
      <c r="D17" s="133" t="s">
        <v>167</v>
      </c>
      <c r="E17" s="79">
        <v>1</v>
      </c>
      <c r="F17" s="81">
        <v>1.9</v>
      </c>
      <c r="G17" s="81"/>
      <c r="H17" s="81">
        <v>1.3</v>
      </c>
      <c r="I17" s="79">
        <f t="shared" si="0"/>
        <v>2.4699999999999998</v>
      </c>
      <c r="J17" s="80"/>
    </row>
    <row r="18" spans="1:10" x14ac:dyDescent="0.7">
      <c r="A18" s="338" t="s">
        <v>109</v>
      </c>
      <c r="B18" s="81" t="s">
        <v>210</v>
      </c>
      <c r="C18" s="79" t="s">
        <v>22</v>
      </c>
      <c r="D18" s="133" t="s">
        <v>167</v>
      </c>
      <c r="E18" s="79">
        <v>1</v>
      </c>
      <c r="F18" s="81">
        <v>1.4</v>
      </c>
      <c r="G18" s="81"/>
      <c r="H18" s="81">
        <v>1.4</v>
      </c>
      <c r="I18" s="79">
        <f t="shared" si="0"/>
        <v>1.9599999999999997</v>
      </c>
      <c r="J18" s="80"/>
    </row>
    <row r="19" spans="1:10" x14ac:dyDescent="0.7">
      <c r="A19" s="338"/>
      <c r="B19" s="81"/>
      <c r="C19" s="79" t="s">
        <v>22</v>
      </c>
      <c r="D19" s="133" t="s">
        <v>167</v>
      </c>
      <c r="E19" s="79">
        <v>1</v>
      </c>
      <c r="F19" s="81">
        <v>1.9</v>
      </c>
      <c r="G19" s="81"/>
      <c r="H19" s="81">
        <v>1.3</v>
      </c>
      <c r="I19" s="79">
        <f t="shared" si="0"/>
        <v>2.4699999999999998</v>
      </c>
      <c r="J19" s="80"/>
    </row>
    <row r="20" spans="1:10" ht="17.5" thickBot="1" x14ac:dyDescent="0.75">
      <c r="A20" s="164"/>
      <c r="B20" s="188"/>
      <c r="C20" s="165"/>
      <c r="D20" s="189"/>
      <c r="E20" s="189">
        <f>SUM(E5:E19)</f>
        <v>18</v>
      </c>
      <c r="F20" s="188"/>
      <c r="G20" s="387" t="s">
        <v>211</v>
      </c>
      <c r="H20" s="388"/>
      <c r="I20" s="228">
        <f>SUM(I5:I19)</f>
        <v>38.31</v>
      </c>
      <c r="J20" s="161"/>
    </row>
  </sheetData>
  <mergeCells count="10">
    <mergeCell ref="A1:J1"/>
    <mergeCell ref="G20:H20"/>
    <mergeCell ref="I2:I3"/>
    <mergeCell ref="J2:J3"/>
    <mergeCell ref="A2:A3"/>
    <mergeCell ref="B2:B3"/>
    <mergeCell ref="C2:C3"/>
    <mergeCell ref="D2:D3"/>
    <mergeCell ref="E2:E3"/>
    <mergeCell ref="F2:H2"/>
  </mergeCells>
  <pageMargins left="0.7" right="0.7" top="0.75" bottom="0.75" header="0.3" footer="0.3"/>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7778-DD4F-4419-9F7F-59ECB68B33A1}">
  <sheetPr>
    <tabColor rgb="FF002060"/>
  </sheetPr>
  <dimension ref="A1:K14"/>
  <sheetViews>
    <sheetView view="pageBreakPreview" zoomScale="60" zoomScaleNormal="100" workbookViewId="0">
      <pane ySplit="3" topLeftCell="A4" activePane="bottomLeft" state="frozen"/>
      <selection activeCell="D9" sqref="D9"/>
      <selection pane="bottomLeft" activeCell="Q15" sqref="Q15"/>
    </sheetView>
  </sheetViews>
  <sheetFormatPr defaultColWidth="9.36328125" defaultRowHeight="17" x14ac:dyDescent="0.7"/>
  <cols>
    <col min="1" max="1" width="5.36328125" style="90" bestFit="1" customWidth="1"/>
    <col min="2" max="2" width="14.36328125" style="151" bestFit="1" customWidth="1"/>
    <col min="3" max="3" width="9.36328125" style="90" customWidth="1"/>
    <col min="4" max="4" width="9.36328125" style="151" customWidth="1"/>
    <col min="5" max="5" width="9.36328125" style="151"/>
    <col min="6" max="8" width="12.36328125" style="151" customWidth="1"/>
    <col min="9" max="9" width="9.36328125" style="90" customWidth="1"/>
    <col min="10" max="10" width="11" style="151" bestFit="1" customWidth="1"/>
    <col min="11" max="16384" width="9.36328125" style="151"/>
  </cols>
  <sheetData>
    <row r="1" spans="1:11" ht="29" customHeight="1" thickBot="1" x14ac:dyDescent="0.75">
      <c r="A1" s="381" t="s">
        <v>212</v>
      </c>
      <c r="B1" s="382"/>
      <c r="C1" s="382"/>
      <c r="D1" s="382"/>
      <c r="E1" s="382"/>
      <c r="F1" s="382"/>
      <c r="G1" s="382"/>
      <c r="H1" s="382"/>
      <c r="I1" s="382"/>
      <c r="J1" s="383"/>
    </row>
    <row r="2" spans="1:11" s="77" customFormat="1" x14ac:dyDescent="0.35">
      <c r="A2" s="377" t="s">
        <v>2</v>
      </c>
      <c r="B2" s="379" t="s">
        <v>158</v>
      </c>
      <c r="C2" s="379" t="s">
        <v>159</v>
      </c>
      <c r="D2" s="379" t="s">
        <v>160</v>
      </c>
      <c r="E2" s="379" t="s">
        <v>22</v>
      </c>
      <c r="F2" s="379" t="s">
        <v>161</v>
      </c>
      <c r="G2" s="379"/>
      <c r="H2" s="379"/>
      <c r="I2" s="373" t="s">
        <v>5</v>
      </c>
      <c r="J2" s="375" t="s">
        <v>8</v>
      </c>
    </row>
    <row r="3" spans="1:11" s="77" customFormat="1" x14ac:dyDescent="0.35">
      <c r="A3" s="378"/>
      <c r="B3" s="380"/>
      <c r="C3" s="380"/>
      <c r="D3" s="380"/>
      <c r="E3" s="380"/>
      <c r="F3" s="324" t="s">
        <v>162</v>
      </c>
      <c r="G3" s="324" t="s">
        <v>163</v>
      </c>
      <c r="H3" s="324" t="s">
        <v>164</v>
      </c>
      <c r="I3" s="374"/>
      <c r="J3" s="376"/>
    </row>
    <row r="4" spans="1:11" x14ac:dyDescent="0.7">
      <c r="A4" s="338">
        <v>1</v>
      </c>
      <c r="B4" s="156" t="s">
        <v>177</v>
      </c>
      <c r="C4" s="79"/>
      <c r="D4" s="133"/>
      <c r="E4" s="79"/>
      <c r="F4" s="133"/>
      <c r="G4" s="133"/>
      <c r="H4" s="133"/>
      <c r="I4" s="79"/>
      <c r="J4" s="83"/>
    </row>
    <row r="5" spans="1:11" x14ac:dyDescent="0.7">
      <c r="A5" s="338" t="s">
        <v>99</v>
      </c>
      <c r="B5" s="133" t="s">
        <v>213</v>
      </c>
      <c r="C5" s="79" t="s">
        <v>22</v>
      </c>
      <c r="D5" s="133" t="s">
        <v>167</v>
      </c>
      <c r="E5" s="79">
        <v>1</v>
      </c>
      <c r="F5" s="221">
        <v>0.98</v>
      </c>
      <c r="G5" s="221"/>
      <c r="H5" s="221">
        <v>2.0699999999999998</v>
      </c>
      <c r="I5" s="112">
        <f>E5*F5*H5</f>
        <v>2.0286</v>
      </c>
      <c r="J5" s="83"/>
      <c r="K5" s="219">
        <f t="shared" ref="K5:K13" si="0">H5*2+F5</f>
        <v>5.1199999999999992</v>
      </c>
    </row>
    <row r="6" spans="1:11" x14ac:dyDescent="0.7">
      <c r="A6" s="338" t="s">
        <v>101</v>
      </c>
      <c r="B6" s="133" t="s">
        <v>214</v>
      </c>
      <c r="C6" s="79" t="s">
        <v>22</v>
      </c>
      <c r="D6" s="133" t="s">
        <v>167</v>
      </c>
      <c r="E6" s="79">
        <v>2</v>
      </c>
      <c r="F6" s="221">
        <v>0.70499999999999996</v>
      </c>
      <c r="G6" s="221"/>
      <c r="H6" s="221">
        <v>2.0699999999999998</v>
      </c>
      <c r="I6" s="112">
        <f t="shared" ref="I6:I13" si="1">E6*F6*H6</f>
        <v>2.9186999999999994</v>
      </c>
      <c r="J6" s="83"/>
      <c r="K6" s="219">
        <f t="shared" si="0"/>
        <v>4.8449999999999998</v>
      </c>
    </row>
    <row r="7" spans="1:11" x14ac:dyDescent="0.7">
      <c r="A7" s="338" t="s">
        <v>103</v>
      </c>
      <c r="B7" s="133" t="s">
        <v>215</v>
      </c>
      <c r="C7" s="79" t="s">
        <v>22</v>
      </c>
      <c r="D7" s="133" t="s">
        <v>167</v>
      </c>
      <c r="E7" s="79">
        <v>1</v>
      </c>
      <c r="F7" s="221">
        <v>1.2150000000000001</v>
      </c>
      <c r="G7" s="221"/>
      <c r="H7" s="221">
        <v>2.0699999999999998</v>
      </c>
      <c r="I7" s="112">
        <f t="shared" si="1"/>
        <v>2.51505</v>
      </c>
      <c r="J7" s="83"/>
      <c r="K7" s="219">
        <f t="shared" si="0"/>
        <v>5.3549999999999995</v>
      </c>
    </row>
    <row r="8" spans="1:11" x14ac:dyDescent="0.7">
      <c r="A8" s="338" t="s">
        <v>105</v>
      </c>
      <c r="B8" s="133" t="s">
        <v>216</v>
      </c>
      <c r="C8" s="79" t="s">
        <v>22</v>
      </c>
      <c r="D8" s="133" t="s">
        <v>167</v>
      </c>
      <c r="E8" s="79">
        <v>1</v>
      </c>
      <c r="F8" s="221">
        <v>1.43</v>
      </c>
      <c r="G8" s="221"/>
      <c r="H8" s="221">
        <v>1.96</v>
      </c>
      <c r="I8" s="112">
        <f t="shared" si="1"/>
        <v>2.8028</v>
      </c>
      <c r="J8" s="83"/>
      <c r="K8" s="219">
        <f t="shared" si="0"/>
        <v>5.35</v>
      </c>
    </row>
    <row r="9" spans="1:11" x14ac:dyDescent="0.7">
      <c r="A9" s="338" t="s">
        <v>107</v>
      </c>
      <c r="B9" s="133" t="s">
        <v>184</v>
      </c>
      <c r="C9" s="79" t="s">
        <v>22</v>
      </c>
      <c r="D9" s="133" t="s">
        <v>167</v>
      </c>
      <c r="E9" s="79">
        <v>1</v>
      </c>
      <c r="F9" s="221">
        <v>0.97</v>
      </c>
      <c r="G9" s="221"/>
      <c r="H9" s="221">
        <v>2.06</v>
      </c>
      <c r="I9" s="112">
        <f t="shared" si="1"/>
        <v>1.9982</v>
      </c>
      <c r="J9" s="83"/>
      <c r="K9" s="219">
        <f t="shared" si="0"/>
        <v>5.09</v>
      </c>
    </row>
    <row r="10" spans="1:11" x14ac:dyDescent="0.7">
      <c r="A10" s="338" t="s">
        <v>109</v>
      </c>
      <c r="B10" s="133" t="s">
        <v>217</v>
      </c>
      <c r="C10" s="79" t="s">
        <v>22</v>
      </c>
      <c r="D10" s="133" t="s">
        <v>167</v>
      </c>
      <c r="E10" s="79">
        <v>1</v>
      </c>
      <c r="F10" s="221">
        <v>0.98</v>
      </c>
      <c r="G10" s="221"/>
      <c r="H10" s="221">
        <v>2.08</v>
      </c>
      <c r="I10" s="112">
        <f t="shared" si="1"/>
        <v>2.0384000000000002</v>
      </c>
      <c r="J10" s="83"/>
      <c r="K10" s="219">
        <f t="shared" si="0"/>
        <v>5.1400000000000006</v>
      </c>
    </row>
    <row r="11" spans="1:11" x14ac:dyDescent="0.7">
      <c r="A11" s="338" t="s">
        <v>111</v>
      </c>
      <c r="B11" s="133" t="s">
        <v>218</v>
      </c>
      <c r="C11" s="79" t="s">
        <v>22</v>
      </c>
      <c r="D11" s="133" t="s">
        <v>167</v>
      </c>
      <c r="E11" s="79">
        <v>1</v>
      </c>
      <c r="F11" s="221">
        <v>0.7</v>
      </c>
      <c r="G11" s="221"/>
      <c r="H11" s="221">
        <v>2.0499999999999998</v>
      </c>
      <c r="I11" s="112">
        <f t="shared" si="1"/>
        <v>1.4349999999999998</v>
      </c>
      <c r="J11" s="83"/>
      <c r="K11" s="219">
        <f t="shared" si="0"/>
        <v>4.8</v>
      </c>
    </row>
    <row r="12" spans="1:11" x14ac:dyDescent="0.7">
      <c r="A12" s="338" t="s">
        <v>113</v>
      </c>
      <c r="B12" s="133" t="s">
        <v>219</v>
      </c>
      <c r="C12" s="79" t="s">
        <v>22</v>
      </c>
      <c r="D12" s="133" t="s">
        <v>167</v>
      </c>
      <c r="E12" s="79">
        <v>1</v>
      </c>
      <c r="F12" s="221">
        <v>0.9</v>
      </c>
      <c r="G12" s="221"/>
      <c r="H12" s="221">
        <v>2.13</v>
      </c>
      <c r="I12" s="112">
        <f t="shared" si="1"/>
        <v>1.917</v>
      </c>
      <c r="J12" s="83"/>
      <c r="K12" s="219">
        <f t="shared" si="0"/>
        <v>5.16</v>
      </c>
    </row>
    <row r="13" spans="1:11" x14ac:dyDescent="0.7">
      <c r="A13" s="338" t="s">
        <v>115</v>
      </c>
      <c r="B13" s="133" t="s">
        <v>220</v>
      </c>
      <c r="C13" s="79" t="s">
        <v>22</v>
      </c>
      <c r="D13" s="133" t="s">
        <v>167</v>
      </c>
      <c r="E13" s="79">
        <v>1</v>
      </c>
      <c r="F13" s="221">
        <v>0.9</v>
      </c>
      <c r="G13" s="221"/>
      <c r="H13" s="221">
        <v>2.13</v>
      </c>
      <c r="I13" s="112">
        <f t="shared" si="1"/>
        <v>1.917</v>
      </c>
      <c r="J13" s="83"/>
      <c r="K13" s="219">
        <f t="shared" si="0"/>
        <v>5.16</v>
      </c>
    </row>
    <row r="14" spans="1:11" s="227" customFormat="1" ht="17.5" thickBot="1" x14ac:dyDescent="0.75">
      <c r="A14" s="222"/>
      <c r="B14" s="223"/>
      <c r="C14" s="389" t="s">
        <v>211</v>
      </c>
      <c r="D14" s="390"/>
      <c r="E14" s="224">
        <f>SUM(E5:E13)</f>
        <v>10</v>
      </c>
      <c r="F14" s="225"/>
      <c r="G14" s="225"/>
      <c r="H14" s="225"/>
      <c r="I14" s="205">
        <f>SUM(I5:I13)</f>
        <v>19.57075</v>
      </c>
      <c r="J14" s="226"/>
      <c r="K14" s="205">
        <f>SUM(K5:K13)</f>
        <v>46.019999999999996</v>
      </c>
    </row>
  </sheetData>
  <mergeCells count="10">
    <mergeCell ref="A1:J1"/>
    <mergeCell ref="I2:I3"/>
    <mergeCell ref="J2:J3"/>
    <mergeCell ref="C14:D14"/>
    <mergeCell ref="A2:A3"/>
    <mergeCell ref="B2:B3"/>
    <mergeCell ref="C2:C3"/>
    <mergeCell ref="D2:D3"/>
    <mergeCell ref="E2:E3"/>
    <mergeCell ref="F2:H2"/>
  </mergeCells>
  <pageMargins left="0.7" right="0.7" top="0.75" bottom="0.75" header="0.3" footer="0.3"/>
  <pageSetup paperSize="9" scale="84"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AD599-1FEE-47A5-BC3A-327753F1CA6F}">
  <sheetPr>
    <tabColor rgb="FF002060"/>
    <pageSetUpPr fitToPage="1"/>
  </sheetPr>
  <dimension ref="A1:K30"/>
  <sheetViews>
    <sheetView view="pageBreakPreview" zoomScaleNormal="100" zoomScaleSheetLayoutView="100" workbookViewId="0">
      <pane ySplit="3" topLeftCell="A25" activePane="bottomLeft" state="frozen"/>
      <selection activeCell="D9" sqref="D9"/>
      <selection pane="bottomLeft" activeCell="I7" sqref="I7"/>
    </sheetView>
  </sheetViews>
  <sheetFormatPr defaultColWidth="9.36328125" defaultRowHeight="17" x14ac:dyDescent="0.7"/>
  <cols>
    <col min="1" max="1" width="5.36328125" style="90" bestFit="1" customWidth="1"/>
    <col min="2" max="2" width="10.6328125" style="151" bestFit="1" customWidth="1"/>
    <col min="3" max="3" width="9.36328125" style="90" customWidth="1"/>
    <col min="4" max="4" width="9.36328125" style="151" customWidth="1"/>
    <col min="5" max="5" width="9.36328125" style="151"/>
    <col min="6" max="8" width="12.36328125" style="151" customWidth="1"/>
    <col min="9" max="9" width="15.453125" style="90" customWidth="1"/>
    <col min="10" max="10" width="9.90625" style="151" bestFit="1" customWidth="1"/>
    <col min="11" max="16384" width="9.36328125" style="151"/>
  </cols>
  <sheetData>
    <row r="1" spans="1:11" x14ac:dyDescent="0.7">
      <c r="A1" s="257"/>
      <c r="B1" s="391" t="s">
        <v>212</v>
      </c>
      <c r="C1" s="391"/>
      <c r="D1" s="391"/>
      <c r="E1" s="391"/>
      <c r="F1" s="391"/>
      <c r="G1" s="391"/>
      <c r="H1" s="391"/>
      <c r="I1" s="391"/>
      <c r="J1" s="392"/>
    </row>
    <row r="2" spans="1:11" s="77" customFormat="1" x14ac:dyDescent="0.35">
      <c r="A2" s="378" t="s">
        <v>2</v>
      </c>
      <c r="B2" s="380" t="s">
        <v>158</v>
      </c>
      <c r="C2" s="380" t="s">
        <v>159</v>
      </c>
      <c r="D2" s="380" t="s">
        <v>160</v>
      </c>
      <c r="E2" s="380" t="s">
        <v>22</v>
      </c>
      <c r="F2" s="380" t="s">
        <v>161</v>
      </c>
      <c r="G2" s="380"/>
      <c r="H2" s="380"/>
      <c r="I2" s="374" t="s">
        <v>5</v>
      </c>
      <c r="J2" s="376" t="s">
        <v>8</v>
      </c>
    </row>
    <row r="3" spans="1:11" s="77" customFormat="1" x14ac:dyDescent="0.35">
      <c r="A3" s="378"/>
      <c r="B3" s="380"/>
      <c r="C3" s="380"/>
      <c r="D3" s="380"/>
      <c r="E3" s="380"/>
      <c r="F3" s="324" t="s">
        <v>162</v>
      </c>
      <c r="G3" s="324" t="s">
        <v>163</v>
      </c>
      <c r="H3" s="324" t="s">
        <v>164</v>
      </c>
      <c r="I3" s="374"/>
      <c r="J3" s="376"/>
    </row>
    <row r="4" spans="1:11" x14ac:dyDescent="0.7">
      <c r="A4" s="84">
        <v>1</v>
      </c>
      <c r="B4" s="81" t="s">
        <v>221</v>
      </c>
      <c r="C4" s="79" t="s">
        <v>12</v>
      </c>
      <c r="D4" s="79" t="s">
        <v>222</v>
      </c>
      <c r="E4" s="79">
        <v>2</v>
      </c>
      <c r="F4" s="218">
        <v>0.66</v>
      </c>
      <c r="G4" s="218"/>
      <c r="H4" s="218">
        <v>2</v>
      </c>
      <c r="I4" s="218">
        <f t="shared" ref="I4:I28" si="0">H4*F4*E4</f>
        <v>2.64</v>
      </c>
      <c r="J4" s="80"/>
      <c r="K4" s="219">
        <f>H4*2+F4</f>
        <v>4.66</v>
      </c>
    </row>
    <row r="5" spans="1:11" x14ac:dyDescent="0.7">
      <c r="A5" s="84">
        <v>2</v>
      </c>
      <c r="B5" s="81" t="s">
        <v>221</v>
      </c>
      <c r="C5" s="79" t="s">
        <v>12</v>
      </c>
      <c r="D5" s="79" t="s">
        <v>222</v>
      </c>
      <c r="E5" s="79">
        <v>1</v>
      </c>
      <c r="F5" s="218">
        <v>0.98</v>
      </c>
      <c r="G5" s="218"/>
      <c r="H5" s="218">
        <v>2.08</v>
      </c>
      <c r="I5" s="218">
        <f t="shared" si="0"/>
        <v>2.0384000000000002</v>
      </c>
      <c r="J5" s="80"/>
      <c r="K5" s="219">
        <f t="shared" ref="K5:K29" si="1">H5*2+F5</f>
        <v>5.1400000000000006</v>
      </c>
    </row>
    <row r="6" spans="1:11" x14ac:dyDescent="0.7">
      <c r="A6" s="84">
        <v>3</v>
      </c>
      <c r="B6" s="81" t="s">
        <v>221</v>
      </c>
      <c r="C6" s="79" t="s">
        <v>12</v>
      </c>
      <c r="D6" s="79" t="s">
        <v>222</v>
      </c>
      <c r="E6" s="79">
        <v>1</v>
      </c>
      <c r="F6" s="218">
        <v>0.98</v>
      </c>
      <c r="G6" s="218"/>
      <c r="H6" s="218">
        <v>2.0699999999999998</v>
      </c>
      <c r="I6" s="218">
        <f t="shared" si="0"/>
        <v>2.0286</v>
      </c>
      <c r="J6" s="80"/>
      <c r="K6" s="219">
        <f t="shared" si="1"/>
        <v>5.1199999999999992</v>
      </c>
    </row>
    <row r="7" spans="1:11" x14ac:dyDescent="0.7">
      <c r="A7" s="84">
        <v>4</v>
      </c>
      <c r="B7" s="81" t="s">
        <v>221</v>
      </c>
      <c r="C7" s="79" t="s">
        <v>12</v>
      </c>
      <c r="D7" s="79" t="s">
        <v>222</v>
      </c>
      <c r="E7" s="79">
        <v>1</v>
      </c>
      <c r="F7" s="218">
        <v>0.7</v>
      </c>
      <c r="G7" s="218"/>
      <c r="H7" s="218">
        <v>2.0699999999999998</v>
      </c>
      <c r="I7" s="218">
        <f t="shared" si="0"/>
        <v>1.4489999999999998</v>
      </c>
      <c r="J7" s="80"/>
      <c r="K7" s="219">
        <f t="shared" si="1"/>
        <v>4.84</v>
      </c>
    </row>
    <row r="8" spans="1:11" x14ac:dyDescent="0.7">
      <c r="A8" s="84">
        <v>5</v>
      </c>
      <c r="B8" s="81" t="s">
        <v>221</v>
      </c>
      <c r="C8" s="79" t="s">
        <v>12</v>
      </c>
      <c r="D8" s="79" t="s">
        <v>222</v>
      </c>
      <c r="E8" s="79">
        <v>1</v>
      </c>
      <c r="F8" s="218">
        <v>0.72</v>
      </c>
      <c r="G8" s="218"/>
      <c r="H8" s="218">
        <v>2.0699999999999998</v>
      </c>
      <c r="I8" s="218">
        <f t="shared" si="0"/>
        <v>1.4903999999999997</v>
      </c>
      <c r="J8" s="80"/>
      <c r="K8" s="219">
        <f t="shared" si="1"/>
        <v>4.8599999999999994</v>
      </c>
    </row>
    <row r="9" spans="1:11" x14ac:dyDescent="0.7">
      <c r="A9" s="84">
        <v>6</v>
      </c>
      <c r="B9" s="81" t="s">
        <v>221</v>
      </c>
      <c r="C9" s="79" t="s">
        <v>12</v>
      </c>
      <c r="D9" s="79" t="s">
        <v>222</v>
      </c>
      <c r="E9" s="79">
        <v>1</v>
      </c>
      <c r="F9" s="218">
        <v>1.2150000000000001</v>
      </c>
      <c r="G9" s="218"/>
      <c r="H9" s="218">
        <v>2.0699999999999998</v>
      </c>
      <c r="I9" s="218">
        <f t="shared" si="0"/>
        <v>2.51505</v>
      </c>
      <c r="J9" s="80"/>
      <c r="K9" s="219">
        <f t="shared" si="1"/>
        <v>5.3549999999999995</v>
      </c>
    </row>
    <row r="10" spans="1:11" x14ac:dyDescent="0.7">
      <c r="A10" s="84">
        <v>7</v>
      </c>
      <c r="B10" s="81" t="s">
        <v>221</v>
      </c>
      <c r="C10" s="79" t="s">
        <v>12</v>
      </c>
      <c r="D10" s="79" t="s">
        <v>222</v>
      </c>
      <c r="E10" s="79">
        <v>1</v>
      </c>
      <c r="F10" s="218">
        <v>0.98</v>
      </c>
      <c r="G10" s="218"/>
      <c r="H10" s="218">
        <v>2.0699999999999998</v>
      </c>
      <c r="I10" s="218">
        <f t="shared" si="0"/>
        <v>2.0286</v>
      </c>
      <c r="J10" s="80"/>
      <c r="K10" s="219">
        <f t="shared" si="1"/>
        <v>5.1199999999999992</v>
      </c>
    </row>
    <row r="11" spans="1:11" x14ac:dyDescent="0.7">
      <c r="A11" s="84">
        <v>8</v>
      </c>
      <c r="B11" s="81" t="s">
        <v>221</v>
      </c>
      <c r="C11" s="79" t="s">
        <v>12</v>
      </c>
      <c r="D11" s="79" t="s">
        <v>222</v>
      </c>
      <c r="E11" s="79">
        <v>1</v>
      </c>
      <c r="F11" s="218">
        <v>0.7</v>
      </c>
      <c r="G11" s="218"/>
      <c r="H11" s="218">
        <v>2.0699999999999998</v>
      </c>
      <c r="I11" s="218">
        <f t="shared" si="0"/>
        <v>1.4489999999999998</v>
      </c>
      <c r="J11" s="80"/>
      <c r="K11" s="219">
        <f t="shared" si="1"/>
        <v>4.84</v>
      </c>
    </row>
    <row r="12" spans="1:11" x14ac:dyDescent="0.7">
      <c r="A12" s="84">
        <v>9</v>
      </c>
      <c r="B12" s="81" t="s">
        <v>221</v>
      </c>
      <c r="C12" s="79" t="s">
        <v>12</v>
      </c>
      <c r="D12" s="79" t="s">
        <v>222</v>
      </c>
      <c r="E12" s="79">
        <v>1</v>
      </c>
      <c r="F12" s="218">
        <v>0.72</v>
      </c>
      <c r="G12" s="218"/>
      <c r="H12" s="218">
        <v>2.0699999999999998</v>
      </c>
      <c r="I12" s="218">
        <f t="shared" si="0"/>
        <v>1.4903999999999997</v>
      </c>
      <c r="J12" s="80"/>
      <c r="K12" s="219">
        <f t="shared" si="1"/>
        <v>4.8599999999999994</v>
      </c>
    </row>
    <row r="13" spans="1:11" x14ac:dyDescent="0.7">
      <c r="A13" s="84">
        <v>10</v>
      </c>
      <c r="B13" s="81" t="s">
        <v>221</v>
      </c>
      <c r="C13" s="79" t="s">
        <v>12</v>
      </c>
      <c r="D13" s="79" t="s">
        <v>222</v>
      </c>
      <c r="E13" s="79">
        <v>1</v>
      </c>
      <c r="F13" s="218">
        <v>1.2150000000000001</v>
      </c>
      <c r="G13" s="218"/>
      <c r="H13" s="218">
        <v>2.0699999999999998</v>
      </c>
      <c r="I13" s="218">
        <f t="shared" si="0"/>
        <v>2.51505</v>
      </c>
      <c r="J13" s="80"/>
      <c r="K13" s="219">
        <f t="shared" si="1"/>
        <v>5.3549999999999995</v>
      </c>
    </row>
    <row r="14" spans="1:11" x14ac:dyDescent="0.7">
      <c r="A14" s="84">
        <v>11</v>
      </c>
      <c r="B14" s="81" t="s">
        <v>221</v>
      </c>
      <c r="C14" s="79" t="s">
        <v>12</v>
      </c>
      <c r="D14" s="79" t="s">
        <v>222</v>
      </c>
      <c r="E14" s="79">
        <v>1</v>
      </c>
      <c r="F14" s="218">
        <v>1.43</v>
      </c>
      <c r="G14" s="218"/>
      <c r="H14" s="218">
        <v>1.96</v>
      </c>
      <c r="I14" s="218">
        <f t="shared" si="0"/>
        <v>2.8028</v>
      </c>
      <c r="J14" s="80"/>
      <c r="K14" s="219">
        <f t="shared" si="1"/>
        <v>5.35</v>
      </c>
    </row>
    <row r="15" spans="1:11" x14ac:dyDescent="0.7">
      <c r="A15" s="84">
        <v>12</v>
      </c>
      <c r="B15" s="81" t="s">
        <v>221</v>
      </c>
      <c r="C15" s="79" t="s">
        <v>12</v>
      </c>
      <c r="D15" s="79" t="s">
        <v>222</v>
      </c>
      <c r="E15" s="79">
        <v>1</v>
      </c>
      <c r="F15" s="218">
        <v>0.97</v>
      </c>
      <c r="G15" s="218"/>
      <c r="H15" s="218">
        <v>2.06</v>
      </c>
      <c r="I15" s="218">
        <f t="shared" si="0"/>
        <v>1.9982</v>
      </c>
      <c r="J15" s="80"/>
      <c r="K15" s="219">
        <f t="shared" si="1"/>
        <v>5.09</v>
      </c>
    </row>
    <row r="16" spans="1:11" x14ac:dyDescent="0.7">
      <c r="A16" s="84">
        <v>13</v>
      </c>
      <c r="B16" s="81" t="s">
        <v>221</v>
      </c>
      <c r="C16" s="79" t="s">
        <v>12</v>
      </c>
      <c r="D16" s="79" t="s">
        <v>222</v>
      </c>
      <c r="E16" s="79">
        <v>1</v>
      </c>
      <c r="F16" s="218">
        <v>0.97</v>
      </c>
      <c r="G16" s="218"/>
      <c r="H16" s="218">
        <v>2.1800000000000002</v>
      </c>
      <c r="I16" s="218">
        <f t="shared" si="0"/>
        <v>2.1146000000000003</v>
      </c>
      <c r="J16" s="80"/>
      <c r="K16" s="219">
        <f t="shared" si="1"/>
        <v>5.33</v>
      </c>
    </row>
    <row r="17" spans="1:11" x14ac:dyDescent="0.7">
      <c r="A17" s="84">
        <v>14</v>
      </c>
      <c r="B17" s="81" t="s">
        <v>221</v>
      </c>
      <c r="C17" s="79" t="s">
        <v>12</v>
      </c>
      <c r="D17" s="79" t="s">
        <v>222</v>
      </c>
      <c r="E17" s="79">
        <v>1</v>
      </c>
      <c r="F17" s="218">
        <v>0.97</v>
      </c>
      <c r="G17" s="218"/>
      <c r="H17" s="218">
        <v>2.1800000000000002</v>
      </c>
      <c r="I17" s="218">
        <f t="shared" si="0"/>
        <v>2.1146000000000003</v>
      </c>
      <c r="J17" s="80"/>
      <c r="K17" s="219">
        <f t="shared" si="1"/>
        <v>5.33</v>
      </c>
    </row>
    <row r="18" spans="1:11" x14ac:dyDescent="0.7">
      <c r="A18" s="84">
        <v>15</v>
      </c>
      <c r="B18" s="81" t="s">
        <v>221</v>
      </c>
      <c r="C18" s="79" t="s">
        <v>12</v>
      </c>
      <c r="D18" s="79" t="s">
        <v>222</v>
      </c>
      <c r="E18" s="79">
        <v>1</v>
      </c>
      <c r="F18" s="218">
        <v>1.2</v>
      </c>
      <c r="G18" s="218"/>
      <c r="H18" s="218">
        <v>2.1800000000000002</v>
      </c>
      <c r="I18" s="218">
        <f t="shared" si="0"/>
        <v>2.6160000000000001</v>
      </c>
      <c r="J18" s="80"/>
      <c r="K18" s="219">
        <f t="shared" si="1"/>
        <v>5.5600000000000005</v>
      </c>
    </row>
    <row r="19" spans="1:11" x14ac:dyDescent="0.7">
      <c r="A19" s="84">
        <v>16</v>
      </c>
      <c r="B19" s="81" t="s">
        <v>221</v>
      </c>
      <c r="C19" s="79" t="s">
        <v>12</v>
      </c>
      <c r="D19" s="79" t="s">
        <v>222</v>
      </c>
      <c r="E19" s="79">
        <v>1</v>
      </c>
      <c r="F19" s="218">
        <v>0.89500000000000002</v>
      </c>
      <c r="G19" s="218"/>
      <c r="H19" s="218">
        <v>2.93</v>
      </c>
      <c r="I19" s="218">
        <f t="shared" si="0"/>
        <v>2.6223500000000004</v>
      </c>
      <c r="J19" s="80"/>
      <c r="K19" s="219">
        <f t="shared" si="1"/>
        <v>6.7550000000000008</v>
      </c>
    </row>
    <row r="20" spans="1:11" x14ac:dyDescent="0.7">
      <c r="A20" s="84">
        <v>17</v>
      </c>
      <c r="B20" s="81" t="s">
        <v>221</v>
      </c>
      <c r="C20" s="79" t="s">
        <v>12</v>
      </c>
      <c r="D20" s="79" t="s">
        <v>222</v>
      </c>
      <c r="E20" s="79">
        <v>1</v>
      </c>
      <c r="F20" s="218">
        <v>0.98499999999999999</v>
      </c>
      <c r="G20" s="218"/>
      <c r="H20" s="218">
        <v>2.1</v>
      </c>
      <c r="I20" s="218">
        <f t="shared" si="0"/>
        <v>2.0685000000000002</v>
      </c>
      <c r="J20" s="80"/>
      <c r="K20" s="219">
        <f t="shared" si="1"/>
        <v>5.1850000000000005</v>
      </c>
    </row>
    <row r="21" spans="1:11" x14ac:dyDescent="0.7">
      <c r="A21" s="84">
        <v>18</v>
      </c>
      <c r="B21" s="81" t="s">
        <v>221</v>
      </c>
      <c r="C21" s="79" t="s">
        <v>12</v>
      </c>
      <c r="D21" s="79" t="s">
        <v>222</v>
      </c>
      <c r="E21" s="79">
        <v>1</v>
      </c>
      <c r="F21" s="218">
        <v>0.97</v>
      </c>
      <c r="G21" s="218"/>
      <c r="H21" s="218">
        <v>2.1800000000000002</v>
      </c>
      <c r="I21" s="218">
        <f t="shared" si="0"/>
        <v>2.1146000000000003</v>
      </c>
      <c r="J21" s="80"/>
      <c r="K21" s="219">
        <f t="shared" si="1"/>
        <v>5.33</v>
      </c>
    </row>
    <row r="22" spans="1:11" x14ac:dyDescent="0.7">
      <c r="A22" s="84">
        <v>19</v>
      </c>
      <c r="B22" s="81" t="s">
        <v>221</v>
      </c>
      <c r="C22" s="79" t="s">
        <v>12</v>
      </c>
      <c r="D22" s="79" t="s">
        <v>222</v>
      </c>
      <c r="E22" s="79">
        <v>1</v>
      </c>
      <c r="F22" s="218">
        <v>0.75</v>
      </c>
      <c r="G22" s="218"/>
      <c r="H22" s="218">
        <v>2.1</v>
      </c>
      <c r="I22" s="218">
        <f t="shared" si="0"/>
        <v>1.5750000000000002</v>
      </c>
      <c r="J22" s="80"/>
      <c r="K22" s="219">
        <f t="shared" si="1"/>
        <v>4.95</v>
      </c>
    </row>
    <row r="23" spans="1:11" x14ac:dyDescent="0.7">
      <c r="A23" s="84">
        <v>20</v>
      </c>
      <c r="B23" s="81" t="s">
        <v>221</v>
      </c>
      <c r="C23" s="79" t="s">
        <v>12</v>
      </c>
      <c r="D23" s="79" t="s">
        <v>222</v>
      </c>
      <c r="E23" s="79">
        <v>1</v>
      </c>
      <c r="F23" s="218">
        <v>0.75</v>
      </c>
      <c r="G23" s="218"/>
      <c r="H23" s="218">
        <v>2.1</v>
      </c>
      <c r="I23" s="218">
        <f t="shared" si="0"/>
        <v>1.5750000000000002</v>
      </c>
      <c r="J23" s="80"/>
      <c r="K23" s="219">
        <f t="shared" si="1"/>
        <v>4.95</v>
      </c>
    </row>
    <row r="24" spans="1:11" x14ac:dyDescent="0.7">
      <c r="A24" s="84">
        <v>21</v>
      </c>
      <c r="B24" s="81" t="s">
        <v>221</v>
      </c>
      <c r="C24" s="79" t="s">
        <v>12</v>
      </c>
      <c r="D24" s="79" t="s">
        <v>222</v>
      </c>
      <c r="E24" s="79">
        <v>1</v>
      </c>
      <c r="F24" s="192">
        <v>1.02</v>
      </c>
      <c r="G24" s="192"/>
      <c r="H24" s="192">
        <v>2.1</v>
      </c>
      <c r="I24" s="218">
        <f t="shared" si="0"/>
        <v>2.1420000000000003</v>
      </c>
      <c r="J24" s="80"/>
      <c r="K24" s="219">
        <f t="shared" si="1"/>
        <v>5.2200000000000006</v>
      </c>
    </row>
    <row r="25" spans="1:11" x14ac:dyDescent="0.7">
      <c r="A25" s="84">
        <v>22</v>
      </c>
      <c r="B25" s="81" t="s">
        <v>221</v>
      </c>
      <c r="C25" s="79" t="s">
        <v>12</v>
      </c>
      <c r="D25" s="79" t="s">
        <v>222</v>
      </c>
      <c r="E25" s="79">
        <v>1</v>
      </c>
      <c r="F25" s="192">
        <v>0.98</v>
      </c>
      <c r="G25" s="192"/>
      <c r="H25" s="192">
        <v>2.1</v>
      </c>
      <c r="I25" s="218">
        <f t="shared" si="0"/>
        <v>2.0579999999999998</v>
      </c>
      <c r="J25" s="80"/>
      <c r="K25" s="219">
        <f t="shared" si="1"/>
        <v>5.18</v>
      </c>
    </row>
    <row r="26" spans="1:11" x14ac:dyDescent="0.7">
      <c r="A26" s="84">
        <v>23</v>
      </c>
      <c r="B26" s="81" t="s">
        <v>221</v>
      </c>
      <c r="C26" s="79" t="s">
        <v>12</v>
      </c>
      <c r="D26" s="79" t="s">
        <v>222</v>
      </c>
      <c r="E26" s="79">
        <v>1</v>
      </c>
      <c r="F26" s="192">
        <v>0.75</v>
      </c>
      <c r="G26" s="192"/>
      <c r="H26" s="192">
        <v>1.22</v>
      </c>
      <c r="I26" s="218">
        <f t="shared" si="0"/>
        <v>0.91500000000000004</v>
      </c>
      <c r="J26" s="80"/>
      <c r="K26" s="219">
        <f t="shared" si="1"/>
        <v>3.19</v>
      </c>
    </row>
    <row r="27" spans="1:11" x14ac:dyDescent="0.7">
      <c r="A27" s="84">
        <v>24</v>
      </c>
      <c r="B27" s="81" t="s">
        <v>221</v>
      </c>
      <c r="C27" s="79" t="s">
        <v>12</v>
      </c>
      <c r="D27" s="79" t="s">
        <v>222</v>
      </c>
      <c r="E27" s="79">
        <v>1</v>
      </c>
      <c r="F27" s="192">
        <v>0.9</v>
      </c>
      <c r="G27" s="192"/>
      <c r="H27" s="192">
        <v>2.13</v>
      </c>
      <c r="I27" s="218">
        <f t="shared" si="0"/>
        <v>1.917</v>
      </c>
      <c r="J27" s="80"/>
      <c r="K27" s="219">
        <f t="shared" si="1"/>
        <v>5.16</v>
      </c>
    </row>
    <row r="28" spans="1:11" x14ac:dyDescent="0.7">
      <c r="A28" s="84">
        <v>25</v>
      </c>
      <c r="B28" s="81" t="s">
        <v>221</v>
      </c>
      <c r="C28" s="79" t="s">
        <v>12</v>
      </c>
      <c r="D28" s="79" t="s">
        <v>223</v>
      </c>
      <c r="E28" s="133">
        <v>2</v>
      </c>
      <c r="F28" s="192">
        <v>1.06</v>
      </c>
      <c r="G28" s="192"/>
      <c r="H28" s="192">
        <v>2.0299999999999998</v>
      </c>
      <c r="I28" s="218">
        <f t="shared" si="0"/>
        <v>4.3035999999999994</v>
      </c>
      <c r="J28" s="80"/>
      <c r="K28" s="219">
        <f t="shared" si="1"/>
        <v>5.1199999999999992</v>
      </c>
    </row>
    <row r="29" spans="1:11" x14ac:dyDescent="0.7">
      <c r="A29" s="84">
        <v>26</v>
      </c>
      <c r="B29" s="81" t="s">
        <v>221</v>
      </c>
      <c r="C29" s="79" t="s">
        <v>12</v>
      </c>
      <c r="D29" s="79" t="s">
        <v>223</v>
      </c>
      <c r="E29" s="133">
        <v>2</v>
      </c>
      <c r="F29" s="192">
        <v>1.19</v>
      </c>
      <c r="G29" s="192"/>
      <c r="H29" s="192">
        <v>2.0249999999999999</v>
      </c>
      <c r="I29" s="218">
        <f>H29*F29*E29</f>
        <v>4.8194999999999997</v>
      </c>
      <c r="J29" s="80"/>
      <c r="K29" s="219">
        <f t="shared" si="1"/>
        <v>5.24</v>
      </c>
    </row>
    <row r="30" spans="1:11" ht="17.5" thickBot="1" x14ac:dyDescent="0.75">
      <c r="A30" s="164"/>
      <c r="B30" s="189"/>
      <c r="C30" s="165"/>
      <c r="D30" s="189"/>
      <c r="E30" s="189"/>
      <c r="F30" s="258"/>
      <c r="G30" s="393" t="s">
        <v>224</v>
      </c>
      <c r="H30" s="393"/>
      <c r="I30" s="220">
        <f>SUM(I4:I29)</f>
        <v>57.401250000000012</v>
      </c>
      <c r="J30" s="259"/>
      <c r="K30" s="256">
        <f>SUM(K4:K29)</f>
        <v>133.09</v>
      </c>
    </row>
  </sheetData>
  <mergeCells count="10">
    <mergeCell ref="B1:J1"/>
    <mergeCell ref="G30:H30"/>
    <mergeCell ref="I2:I3"/>
    <mergeCell ref="J2:J3"/>
    <mergeCell ref="A2:A3"/>
    <mergeCell ref="B2:B3"/>
    <mergeCell ref="C2:C3"/>
    <mergeCell ref="D2:D3"/>
    <mergeCell ref="E2:E3"/>
    <mergeCell ref="F2:H2"/>
  </mergeCells>
  <pageMargins left="0.70866141732283472" right="0.70866141732283472" top="0.74803149606299213" bottom="0.74803149606299213" header="0.31496062992125984" footer="0.31496062992125984"/>
  <pageSetup paperSize="9" scale="81" orientation="portrait"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A70AA-D60F-46E4-84FA-2D95FEC6D4A6}">
  <sheetPr>
    <tabColor rgb="FF002060"/>
  </sheetPr>
  <dimension ref="A1:S23"/>
  <sheetViews>
    <sheetView view="pageBreakPreview" zoomScaleNormal="100" zoomScaleSheetLayoutView="100" workbookViewId="0">
      <pane xSplit="10" ySplit="3" topLeftCell="Q16" activePane="bottomRight" state="frozen"/>
      <selection pane="topRight" activeCell="D9" sqref="D9"/>
      <selection pane="bottomLeft" activeCell="D9" sqref="D9"/>
      <selection pane="bottomRight" activeCell="E4" sqref="E4:E5"/>
    </sheetView>
  </sheetViews>
  <sheetFormatPr defaultColWidth="8.6328125" defaultRowHeight="17" x14ac:dyDescent="0.7"/>
  <cols>
    <col min="1" max="1" width="4.6328125" style="90" bestFit="1" customWidth="1"/>
    <col min="2" max="2" width="84.1796875" style="76" bestFit="1" customWidth="1"/>
    <col min="3" max="3" width="4.6328125" style="76" bestFit="1" customWidth="1"/>
    <col min="4" max="4" width="4.81640625" style="76" bestFit="1" customWidth="1"/>
    <col min="5" max="5" width="4.08984375" style="76" bestFit="1" customWidth="1"/>
    <col min="6" max="6" width="6.7265625" style="76" bestFit="1" customWidth="1"/>
    <col min="7" max="7" width="7.7265625" style="76" bestFit="1" customWidth="1"/>
    <col min="8" max="8" width="6.36328125" style="76" bestFit="1" customWidth="1"/>
    <col min="9" max="9" width="10.08984375" style="76" bestFit="1" customWidth="1"/>
    <col min="10" max="10" width="8.90625" style="76" bestFit="1" customWidth="1"/>
    <col min="11" max="11" width="8.6328125" style="76"/>
    <col min="12" max="12" width="16" style="76" bestFit="1" customWidth="1"/>
    <col min="13" max="13" width="4.08984375" style="76" bestFit="1" customWidth="1"/>
    <col min="14" max="15" width="6" style="76" bestFit="1" customWidth="1"/>
    <col min="16" max="16" width="2.08984375" style="76" bestFit="1" customWidth="1"/>
    <col min="17" max="17" width="10.26953125" style="76" bestFit="1" customWidth="1"/>
    <col min="18" max="18" width="7.08984375" style="76" bestFit="1" customWidth="1"/>
    <col min="19" max="19" width="9.08984375" style="76" bestFit="1" customWidth="1"/>
    <col min="20" max="16384" width="8.6328125" style="76"/>
  </cols>
  <sheetData>
    <row r="1" spans="1:19" ht="17.5" thickBot="1" x14ac:dyDescent="0.75">
      <c r="A1" s="381" t="s">
        <v>225</v>
      </c>
      <c r="B1" s="382"/>
      <c r="C1" s="382"/>
      <c r="D1" s="382"/>
      <c r="E1" s="382"/>
      <c r="F1" s="382"/>
      <c r="G1" s="382"/>
      <c r="H1" s="382"/>
      <c r="I1" s="382"/>
      <c r="J1" s="383"/>
    </row>
    <row r="2" spans="1:19" s="77" customFormat="1" x14ac:dyDescent="0.35">
      <c r="A2" s="373" t="s">
        <v>2</v>
      </c>
      <c r="B2" s="379" t="s">
        <v>158</v>
      </c>
      <c r="C2" s="379" t="s">
        <v>159</v>
      </c>
      <c r="D2" s="379" t="s">
        <v>160</v>
      </c>
      <c r="E2" s="379" t="s">
        <v>22</v>
      </c>
      <c r="F2" s="379" t="s">
        <v>161</v>
      </c>
      <c r="G2" s="379"/>
      <c r="H2" s="379"/>
      <c r="I2" s="373" t="s">
        <v>5</v>
      </c>
      <c r="J2" s="379" t="s">
        <v>8</v>
      </c>
      <c r="L2" s="77" t="s">
        <v>226</v>
      </c>
      <c r="M2" s="77" t="s">
        <v>22</v>
      </c>
      <c r="N2" s="77" t="s">
        <v>227</v>
      </c>
      <c r="O2" s="77" t="s">
        <v>228</v>
      </c>
      <c r="P2" s="77" t="s">
        <v>229</v>
      </c>
      <c r="Q2" s="77" t="s">
        <v>230</v>
      </c>
    </row>
    <row r="3" spans="1:19" s="77" customFormat="1" x14ac:dyDescent="0.35">
      <c r="A3" s="374"/>
      <c r="B3" s="380"/>
      <c r="C3" s="380"/>
      <c r="D3" s="380"/>
      <c r="E3" s="380"/>
      <c r="F3" s="324" t="s">
        <v>162</v>
      </c>
      <c r="G3" s="324" t="s">
        <v>163</v>
      </c>
      <c r="H3" s="324" t="s">
        <v>164</v>
      </c>
      <c r="I3" s="374"/>
      <c r="J3" s="380"/>
      <c r="L3" s="77" t="s">
        <v>231</v>
      </c>
      <c r="M3" s="77">
        <v>1</v>
      </c>
      <c r="N3" s="77">
        <v>5.21</v>
      </c>
      <c r="O3" s="77">
        <v>1.32</v>
      </c>
      <c r="Q3" s="77">
        <f>N3*O3</f>
        <v>6.8772000000000002</v>
      </c>
    </row>
    <row r="4" spans="1:19" s="77" customFormat="1" ht="34" x14ac:dyDescent="0.35">
      <c r="A4" s="374">
        <v>1</v>
      </c>
      <c r="B4" s="396" t="s">
        <v>232</v>
      </c>
      <c r="C4" s="380"/>
      <c r="D4" s="380"/>
      <c r="E4" s="380"/>
      <c r="F4" s="380"/>
      <c r="G4" s="380"/>
      <c r="H4" s="380"/>
      <c r="I4" s="380"/>
      <c r="J4" s="380"/>
      <c r="L4" s="215" t="s">
        <v>233</v>
      </c>
      <c r="M4" s="90">
        <v>14</v>
      </c>
      <c r="N4" s="90">
        <v>0.7</v>
      </c>
      <c r="O4" s="90">
        <v>0.6</v>
      </c>
      <c r="P4" s="90"/>
      <c r="Q4" s="90">
        <f>M4*N4*O4</f>
        <v>5.879999999999999</v>
      </c>
    </row>
    <row r="5" spans="1:19" s="90" customFormat="1" ht="34" x14ac:dyDescent="0.35">
      <c r="A5" s="374"/>
      <c r="B5" s="397"/>
      <c r="C5" s="380"/>
      <c r="D5" s="380"/>
      <c r="E5" s="380"/>
      <c r="F5" s="380"/>
      <c r="G5" s="380"/>
      <c r="H5" s="380"/>
      <c r="I5" s="380"/>
      <c r="J5" s="380"/>
      <c r="L5" s="215" t="s">
        <v>234</v>
      </c>
      <c r="M5" s="90">
        <v>1</v>
      </c>
      <c r="N5" s="90">
        <v>5.21</v>
      </c>
      <c r="O5" s="90">
        <v>1.32</v>
      </c>
      <c r="Q5" s="90">
        <f>M5*N5*O5</f>
        <v>6.8772000000000002</v>
      </c>
    </row>
    <row r="6" spans="1:19" s="90" customFormat="1" x14ac:dyDescent="0.35">
      <c r="A6" s="79" t="s">
        <v>99</v>
      </c>
      <c r="B6" s="327" t="s">
        <v>235</v>
      </c>
      <c r="C6" s="79" t="s">
        <v>12</v>
      </c>
      <c r="D6" s="79" t="s">
        <v>223</v>
      </c>
      <c r="E6" s="79">
        <v>15</v>
      </c>
      <c r="F6" s="79"/>
      <c r="G6" s="79"/>
      <c r="H6" s="79"/>
      <c r="I6" s="163">
        <f>(R6*14+Q19)*0.3</f>
        <v>34.311203999999996</v>
      </c>
      <c r="J6" s="79"/>
      <c r="L6" s="215"/>
      <c r="R6" s="90">
        <f>Q5</f>
        <v>6.8772000000000002</v>
      </c>
    </row>
    <row r="7" spans="1:19" s="90" customFormat="1" x14ac:dyDescent="0.35">
      <c r="A7" s="79" t="s">
        <v>101</v>
      </c>
      <c r="B7" s="327" t="s">
        <v>236</v>
      </c>
      <c r="C7" s="79" t="s">
        <v>12</v>
      </c>
      <c r="D7" s="79" t="s">
        <v>237</v>
      </c>
      <c r="E7" s="79">
        <v>15</v>
      </c>
      <c r="F7" s="79"/>
      <c r="G7" s="79"/>
      <c r="H7" s="79"/>
      <c r="I7" s="163">
        <f>Q11*14+Q23</f>
        <v>191.94567999999998</v>
      </c>
      <c r="J7" s="79"/>
      <c r="L7" s="215"/>
      <c r="S7" s="90">
        <f>R6+Q19</f>
        <v>24.967080000000003</v>
      </c>
    </row>
    <row r="8" spans="1:19" s="90" customFormat="1" ht="34" x14ac:dyDescent="0.35">
      <c r="A8" s="79"/>
      <c r="B8" s="132"/>
      <c r="C8" s="132"/>
      <c r="D8" s="132"/>
      <c r="E8" s="132"/>
      <c r="F8" s="132"/>
      <c r="G8" s="132"/>
      <c r="H8" s="132"/>
      <c r="I8" s="132"/>
      <c r="J8" s="132"/>
      <c r="L8" s="215" t="s">
        <v>238</v>
      </c>
      <c r="Q8" s="90">
        <f>Q4+Q5</f>
        <v>12.757199999999999</v>
      </c>
      <c r="S8" s="90">
        <f>Q11+Q23</f>
        <v>29.127180000000003</v>
      </c>
    </row>
    <row r="9" spans="1:19" s="90" customFormat="1" ht="34" x14ac:dyDescent="0.35">
      <c r="B9" s="216"/>
      <c r="C9" s="216"/>
      <c r="D9" s="216"/>
      <c r="E9" s="216"/>
      <c r="F9" s="216"/>
      <c r="G9" s="216"/>
      <c r="H9" s="216"/>
      <c r="I9" s="216"/>
      <c r="J9" s="216"/>
      <c r="L9" s="215" t="s">
        <v>239</v>
      </c>
      <c r="M9" s="90">
        <v>14</v>
      </c>
      <c r="N9" s="90">
        <v>0.7</v>
      </c>
      <c r="O9" s="90">
        <v>0.9</v>
      </c>
      <c r="Q9" s="90">
        <f>M9*N9*O9</f>
        <v>8.8199999999999985</v>
      </c>
    </row>
    <row r="10" spans="1:19" s="90" customFormat="1" ht="34" x14ac:dyDescent="0.35">
      <c r="B10" s="216"/>
      <c r="C10" s="216"/>
      <c r="D10" s="216"/>
      <c r="E10" s="216"/>
      <c r="F10" s="216"/>
      <c r="G10" s="216"/>
      <c r="H10" s="216"/>
      <c r="I10" s="216"/>
      <c r="J10" s="216"/>
      <c r="L10" s="215" t="s">
        <v>240</v>
      </c>
      <c r="M10" s="90">
        <v>2</v>
      </c>
      <c r="N10" s="90">
        <v>1.1950000000000001</v>
      </c>
      <c r="O10" s="90">
        <v>1.55</v>
      </c>
      <c r="Q10" s="90">
        <f>M10*N10*O10</f>
        <v>3.7045000000000003</v>
      </c>
    </row>
    <row r="11" spans="1:19" s="90" customFormat="1" x14ac:dyDescent="0.35">
      <c r="B11" s="216"/>
      <c r="C11" s="216"/>
      <c r="D11" s="216"/>
      <c r="E11" s="216"/>
      <c r="F11" s="216"/>
      <c r="G11" s="216"/>
      <c r="H11" s="216"/>
      <c r="I11" s="216"/>
      <c r="J11" s="216"/>
      <c r="L11" s="77" t="s">
        <v>241</v>
      </c>
      <c r="Q11" s="77">
        <f>Q9+Q10</f>
        <v>12.5245</v>
      </c>
    </row>
    <row r="12" spans="1:19" s="90" customFormat="1" x14ac:dyDescent="0.35">
      <c r="B12" s="216"/>
      <c r="C12" s="216"/>
      <c r="D12" s="216"/>
      <c r="E12" s="216"/>
      <c r="F12" s="216"/>
      <c r="G12" s="216"/>
      <c r="H12" s="216"/>
      <c r="I12" s="216"/>
      <c r="J12" s="216"/>
    </row>
    <row r="13" spans="1:19" s="90" customFormat="1" x14ac:dyDescent="0.35">
      <c r="B13" s="216"/>
      <c r="C13" s="216"/>
      <c r="D13" s="216"/>
      <c r="E13" s="216"/>
      <c r="F13" s="216"/>
      <c r="G13" s="216"/>
      <c r="H13" s="216"/>
      <c r="I13" s="216"/>
      <c r="J13" s="216"/>
      <c r="L13" s="395" t="s">
        <v>242</v>
      </c>
      <c r="M13" s="395"/>
      <c r="N13" s="395"/>
      <c r="O13" s="395"/>
      <c r="P13" s="395"/>
      <c r="Q13" s="395"/>
    </row>
    <row r="14" spans="1:19" s="90" customFormat="1" x14ac:dyDescent="0.35">
      <c r="B14" s="216"/>
      <c r="C14" s="216"/>
      <c r="D14" s="216"/>
      <c r="E14" s="216"/>
      <c r="F14" s="216"/>
      <c r="G14" s="216"/>
      <c r="H14" s="216"/>
      <c r="I14" s="216"/>
      <c r="J14" s="216"/>
      <c r="L14" s="77" t="s">
        <v>226</v>
      </c>
      <c r="M14" s="77" t="s">
        <v>22</v>
      </c>
      <c r="N14" s="77" t="s">
        <v>227</v>
      </c>
      <c r="O14" s="77" t="s">
        <v>228</v>
      </c>
      <c r="P14" s="77" t="s">
        <v>229</v>
      </c>
      <c r="Q14" s="77" t="s">
        <v>230</v>
      </c>
    </row>
    <row r="15" spans="1:19" x14ac:dyDescent="0.7">
      <c r="A15" s="394"/>
      <c r="B15" s="394"/>
      <c r="C15" s="394"/>
      <c r="D15" s="394"/>
      <c r="E15" s="394"/>
      <c r="F15" s="394"/>
      <c r="G15" s="394"/>
      <c r="H15" s="394"/>
      <c r="I15" s="217"/>
      <c r="L15" s="77" t="s">
        <v>231</v>
      </c>
      <c r="N15" s="90">
        <v>7.46</v>
      </c>
      <c r="O15" s="90">
        <v>1.3</v>
      </c>
      <c r="P15" s="90"/>
      <c r="Q15" s="90"/>
      <c r="R15" s="90"/>
      <c r="S15" s="77"/>
    </row>
    <row r="16" spans="1:19" ht="34" x14ac:dyDescent="0.7">
      <c r="L16" s="215" t="s">
        <v>233</v>
      </c>
      <c r="M16" s="76">
        <v>16</v>
      </c>
      <c r="N16" s="76">
        <v>0.77200000000000002</v>
      </c>
      <c r="O16" s="76">
        <v>0.59499999999999997</v>
      </c>
      <c r="Q16" s="90">
        <f t="shared" ref="Q16:Q22" si="0">M16*N16*O16</f>
        <v>7.3494399999999995</v>
      </c>
    </row>
    <row r="17" spans="12:17" ht="34" x14ac:dyDescent="0.7">
      <c r="L17" s="215" t="s">
        <v>233</v>
      </c>
      <c r="M17" s="76">
        <v>2</v>
      </c>
      <c r="N17" s="76">
        <v>0.876</v>
      </c>
      <c r="O17" s="76">
        <v>0.59499999999999997</v>
      </c>
      <c r="Q17" s="90">
        <f t="shared" si="0"/>
        <v>1.04244</v>
      </c>
    </row>
    <row r="18" spans="12:17" ht="34" x14ac:dyDescent="0.7">
      <c r="L18" s="215" t="s">
        <v>234</v>
      </c>
      <c r="M18" s="76">
        <v>1</v>
      </c>
      <c r="N18" s="76">
        <v>7.46</v>
      </c>
      <c r="O18" s="76">
        <v>1.3</v>
      </c>
      <c r="Q18" s="90">
        <f t="shared" si="0"/>
        <v>9.6980000000000004</v>
      </c>
    </row>
    <row r="19" spans="12:17" ht="34" x14ac:dyDescent="0.7">
      <c r="L19" s="215" t="s">
        <v>238</v>
      </c>
      <c r="Q19" s="90">
        <f>SUM(Q16:Q18)</f>
        <v>18.089880000000001</v>
      </c>
    </row>
    <row r="20" spans="12:17" ht="34" x14ac:dyDescent="0.7">
      <c r="L20" s="215" t="s">
        <v>239</v>
      </c>
      <c r="M20" s="76">
        <v>16</v>
      </c>
      <c r="N20" s="76">
        <v>0.77200000000000002</v>
      </c>
      <c r="O20" s="76">
        <v>0.92</v>
      </c>
      <c r="Q20" s="90">
        <f t="shared" si="0"/>
        <v>11.363840000000001</v>
      </c>
    </row>
    <row r="21" spans="12:17" ht="34" x14ac:dyDescent="0.7">
      <c r="L21" s="215" t="s">
        <v>239</v>
      </c>
      <c r="M21" s="76">
        <v>2</v>
      </c>
      <c r="N21" s="76">
        <v>0.876</v>
      </c>
      <c r="O21" s="76">
        <v>0.92</v>
      </c>
      <c r="Q21" s="90">
        <f t="shared" si="0"/>
        <v>1.6118400000000002</v>
      </c>
    </row>
    <row r="22" spans="12:17" ht="34" x14ac:dyDescent="0.7">
      <c r="L22" s="215" t="s">
        <v>240</v>
      </c>
      <c r="M22" s="76">
        <v>2</v>
      </c>
      <c r="N22" s="76">
        <v>1.17</v>
      </c>
      <c r="O22" s="76">
        <v>1.55</v>
      </c>
      <c r="Q22" s="90">
        <f t="shared" si="0"/>
        <v>3.6269999999999998</v>
      </c>
    </row>
    <row r="23" spans="12:17" x14ac:dyDescent="0.7">
      <c r="L23" s="77" t="s">
        <v>241</v>
      </c>
      <c r="Q23" s="77">
        <f>SUM(Q20:Q22)</f>
        <v>16.602680000000003</v>
      </c>
    </row>
  </sheetData>
  <mergeCells count="21">
    <mergeCell ref="A1:J1"/>
    <mergeCell ref="C4:C5"/>
    <mergeCell ref="F2:H2"/>
    <mergeCell ref="H4:H5"/>
    <mergeCell ref="G4:G5"/>
    <mergeCell ref="A4:A5"/>
    <mergeCell ref="E2:E3"/>
    <mergeCell ref="L13:Q13"/>
    <mergeCell ref="B4:B5"/>
    <mergeCell ref="D4:D5"/>
    <mergeCell ref="E4:E5"/>
    <mergeCell ref="F4:F5"/>
    <mergeCell ref="A15:H15"/>
    <mergeCell ref="I2:I3"/>
    <mergeCell ref="J2:J3"/>
    <mergeCell ref="A2:A3"/>
    <mergeCell ref="B2:B3"/>
    <mergeCell ref="I4:I5"/>
    <mergeCell ref="J4:J5"/>
    <mergeCell ref="C2:C3"/>
    <mergeCell ref="D2:D3"/>
  </mergeCells>
  <pageMargins left="0.7" right="0.7" top="0.75" bottom="0.75" header="0.3" footer="0.3"/>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7E061-92EA-4954-A0F8-DC8827F2EBE2}">
  <sheetPr>
    <tabColor rgb="FF002060"/>
  </sheetPr>
  <dimension ref="A1:M14"/>
  <sheetViews>
    <sheetView zoomScale="98" zoomScaleNormal="110" workbookViewId="0">
      <pane xSplit="1" ySplit="3" topLeftCell="B4" activePane="bottomRight" state="frozen"/>
      <selection pane="topRight" activeCell="D9" sqref="D9"/>
      <selection pane="bottomLeft" activeCell="D9" sqref="D9"/>
      <selection pane="bottomRight" activeCell="D9" sqref="D9"/>
    </sheetView>
  </sheetViews>
  <sheetFormatPr defaultColWidth="8.6328125" defaultRowHeight="17" x14ac:dyDescent="0.7"/>
  <cols>
    <col min="1" max="1" width="5.36328125" style="151" bestFit="1" customWidth="1"/>
    <col min="2" max="2" width="40.08984375" style="76" bestFit="1" customWidth="1"/>
    <col min="3" max="4" width="9.36328125" style="90" customWidth="1"/>
    <col min="5" max="5" width="6.453125" style="90" customWidth="1"/>
    <col min="6" max="6" width="12.36328125" style="90" customWidth="1"/>
    <col min="7" max="7" width="10.6328125" style="90" customWidth="1"/>
    <col min="8" max="8" width="12.36328125" style="90" customWidth="1"/>
    <col min="9" max="9" width="11.54296875" style="90" customWidth="1"/>
    <col min="10" max="10" width="13.36328125" style="76" customWidth="1"/>
    <col min="11" max="16384" width="8.6328125" style="76"/>
  </cols>
  <sheetData>
    <row r="1" spans="1:13" x14ac:dyDescent="0.7">
      <c r="A1" s="401" t="s">
        <v>243</v>
      </c>
      <c r="B1" s="391"/>
      <c r="C1" s="391"/>
      <c r="D1" s="391"/>
      <c r="E1" s="391"/>
      <c r="F1" s="391"/>
      <c r="G1" s="391"/>
      <c r="H1" s="391"/>
      <c r="I1" s="391"/>
      <c r="J1" s="392"/>
    </row>
    <row r="2" spans="1:13" s="77" customFormat="1" x14ac:dyDescent="0.35">
      <c r="A2" s="378" t="s">
        <v>2</v>
      </c>
      <c r="B2" s="380" t="s">
        <v>158</v>
      </c>
      <c r="C2" s="380" t="s">
        <v>159</v>
      </c>
      <c r="D2" s="380" t="s">
        <v>160</v>
      </c>
      <c r="E2" s="380" t="s">
        <v>22</v>
      </c>
      <c r="F2" s="380" t="s">
        <v>161</v>
      </c>
      <c r="G2" s="380"/>
      <c r="H2" s="380"/>
      <c r="I2" s="374" t="s">
        <v>5</v>
      </c>
      <c r="J2" s="376" t="s">
        <v>8</v>
      </c>
    </row>
    <row r="3" spans="1:13" s="77" customFormat="1" x14ac:dyDescent="0.35">
      <c r="A3" s="378"/>
      <c r="B3" s="380"/>
      <c r="C3" s="380"/>
      <c r="D3" s="380"/>
      <c r="E3" s="380"/>
      <c r="F3" s="324" t="s">
        <v>162</v>
      </c>
      <c r="G3" s="324" t="s">
        <v>163</v>
      </c>
      <c r="H3" s="324" t="s">
        <v>164</v>
      </c>
      <c r="I3" s="374"/>
      <c r="J3" s="376"/>
    </row>
    <row r="4" spans="1:13" x14ac:dyDescent="0.7">
      <c r="A4" s="108">
        <v>1</v>
      </c>
      <c r="B4" s="109" t="s">
        <v>244</v>
      </c>
      <c r="C4" s="79"/>
      <c r="D4" s="79"/>
      <c r="E4" s="79"/>
      <c r="F4" s="79"/>
      <c r="G4" s="79"/>
      <c r="H4" s="79"/>
      <c r="I4" s="79"/>
      <c r="J4" s="80"/>
    </row>
    <row r="5" spans="1:13" ht="34" x14ac:dyDescent="0.7">
      <c r="A5" s="338" t="s">
        <v>245</v>
      </c>
      <c r="B5" s="132" t="s">
        <v>246</v>
      </c>
      <c r="C5" s="79" t="s">
        <v>247</v>
      </c>
      <c r="D5" s="79" t="s">
        <v>222</v>
      </c>
      <c r="E5" s="110">
        <v>1</v>
      </c>
      <c r="F5" s="79">
        <v>12</v>
      </c>
      <c r="G5" s="79"/>
      <c r="H5" s="79">
        <v>0.75</v>
      </c>
      <c r="I5" s="110">
        <f>PRODUCT(E5:H5)</f>
        <v>9</v>
      </c>
      <c r="J5" s="80"/>
      <c r="M5" s="76">
        <f>8*1.2</f>
        <v>9.6</v>
      </c>
    </row>
    <row r="6" spans="1:13" ht="34" x14ac:dyDescent="0.7">
      <c r="A6" s="84" t="s">
        <v>248</v>
      </c>
      <c r="B6" s="132" t="s">
        <v>249</v>
      </c>
      <c r="C6" s="79" t="s">
        <v>247</v>
      </c>
      <c r="D6" s="79" t="s">
        <v>222</v>
      </c>
      <c r="E6" s="110">
        <v>1</v>
      </c>
      <c r="F6" s="79">
        <v>9.5</v>
      </c>
      <c r="G6" s="79"/>
      <c r="H6" s="79">
        <v>0.75</v>
      </c>
      <c r="I6" s="110">
        <f>PRODUCT(E6:H6)</f>
        <v>7.125</v>
      </c>
      <c r="J6" s="80"/>
    </row>
    <row r="7" spans="1:13" x14ac:dyDescent="0.7">
      <c r="A7" s="84"/>
      <c r="B7" s="132"/>
      <c r="C7" s="79"/>
      <c r="D7" s="79"/>
      <c r="E7" s="110"/>
      <c r="F7" s="398" t="s">
        <v>211</v>
      </c>
      <c r="G7" s="399"/>
      <c r="H7" s="400"/>
      <c r="I7" s="213">
        <f>SUM(I5:I6)</f>
        <v>16.125</v>
      </c>
      <c r="J7" s="80"/>
    </row>
    <row r="8" spans="1:13" x14ac:dyDescent="0.7">
      <c r="A8" s="108">
        <v>2</v>
      </c>
      <c r="B8" s="109" t="s">
        <v>250</v>
      </c>
      <c r="C8" s="79"/>
      <c r="D8" s="79"/>
      <c r="E8" s="79"/>
      <c r="F8" s="79"/>
      <c r="G8" s="79"/>
      <c r="H8" s="79"/>
      <c r="I8" s="79"/>
      <c r="J8" s="80"/>
    </row>
    <row r="9" spans="1:13" ht="34" x14ac:dyDescent="0.7">
      <c r="A9" s="84" t="s">
        <v>245</v>
      </c>
      <c r="B9" s="132" t="s">
        <v>251</v>
      </c>
      <c r="C9" s="79" t="s">
        <v>247</v>
      </c>
      <c r="D9" s="79" t="s">
        <v>222</v>
      </c>
      <c r="E9" s="79">
        <v>2</v>
      </c>
      <c r="F9" s="79">
        <v>5.5</v>
      </c>
      <c r="G9" s="79"/>
      <c r="H9" s="79">
        <v>0.65</v>
      </c>
      <c r="I9" s="110">
        <f>PRODUCT(E9:H9)</f>
        <v>7.15</v>
      </c>
      <c r="J9" s="80"/>
    </row>
    <row r="10" spans="1:13" ht="34" x14ac:dyDescent="0.7">
      <c r="A10" s="84" t="s">
        <v>248</v>
      </c>
      <c r="B10" s="132" t="s">
        <v>251</v>
      </c>
      <c r="C10" s="79" t="s">
        <v>247</v>
      </c>
      <c r="D10" s="79" t="s">
        <v>222</v>
      </c>
      <c r="E10" s="79">
        <v>3</v>
      </c>
      <c r="F10" s="79">
        <v>4.5</v>
      </c>
      <c r="G10" s="79"/>
      <c r="H10" s="79">
        <v>0.65</v>
      </c>
      <c r="I10" s="110">
        <f>PRODUCT(E10:H10)</f>
        <v>8.7750000000000004</v>
      </c>
      <c r="J10" s="80"/>
    </row>
    <row r="11" spans="1:13" x14ac:dyDescent="0.7">
      <c r="A11" s="131"/>
      <c r="B11" s="132"/>
      <c r="C11" s="79"/>
      <c r="D11" s="79"/>
      <c r="E11" s="79"/>
      <c r="F11" s="79"/>
      <c r="G11" s="398" t="s">
        <v>252</v>
      </c>
      <c r="H11" s="400"/>
      <c r="I11" s="213">
        <f>SUM(I9:I10)</f>
        <v>15.925000000000001</v>
      </c>
      <c r="J11" s="80"/>
    </row>
    <row r="12" spans="1:13" x14ac:dyDescent="0.7">
      <c r="A12" s="108">
        <v>3</v>
      </c>
      <c r="B12" s="109" t="s">
        <v>253</v>
      </c>
      <c r="J12" s="175"/>
    </row>
    <row r="13" spans="1:13" ht="51" x14ac:dyDescent="0.7">
      <c r="A13" s="338" t="s">
        <v>245</v>
      </c>
      <c r="B13" s="132" t="s">
        <v>254</v>
      </c>
      <c r="C13" s="79" t="s">
        <v>247</v>
      </c>
      <c r="D13" s="79" t="s">
        <v>222</v>
      </c>
      <c r="E13" s="79">
        <v>5</v>
      </c>
      <c r="F13" s="79"/>
      <c r="G13" s="79">
        <v>1.5</v>
      </c>
      <c r="H13" s="79">
        <v>2</v>
      </c>
      <c r="I13" s="110">
        <f>PRODUCT(E13:H13)</f>
        <v>15</v>
      </c>
      <c r="J13" s="80"/>
    </row>
    <row r="14" spans="1:13" ht="17.5" thickBot="1" x14ac:dyDescent="0.75">
      <c r="A14" s="185"/>
      <c r="B14" s="188"/>
      <c r="C14" s="165"/>
      <c r="D14" s="165"/>
      <c r="E14" s="165"/>
      <c r="F14" s="165"/>
      <c r="G14" s="389" t="s">
        <v>211</v>
      </c>
      <c r="H14" s="390"/>
      <c r="I14" s="214">
        <f>SUM(I13)</f>
        <v>15</v>
      </c>
      <c r="J14" s="161"/>
    </row>
  </sheetData>
  <autoFilter ref="A3:J5" xr:uid="{C7622F04-AB0E-4E13-8C6F-2DD78E878FA4}"/>
  <mergeCells count="12">
    <mergeCell ref="F7:H7"/>
    <mergeCell ref="G11:H11"/>
    <mergeCell ref="G14:H14"/>
    <mergeCell ref="A1:J1"/>
    <mergeCell ref="A2:A3"/>
    <mergeCell ref="B2:B3"/>
    <mergeCell ref="C2:C3"/>
    <mergeCell ref="D2:D3"/>
    <mergeCell ref="E2:E3"/>
    <mergeCell ref="F2:H2"/>
    <mergeCell ref="I2:I3"/>
    <mergeCell ref="J2:J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C1FF9-AF91-4825-BA2E-AE58E86099E2}">
  <sheetPr>
    <tabColor rgb="FF002060"/>
  </sheetPr>
  <dimension ref="A1:J10"/>
  <sheetViews>
    <sheetView zoomScale="72" workbookViewId="0">
      <pane ySplit="3" topLeftCell="A6" activePane="bottomLeft" state="frozen"/>
      <selection activeCell="D9" sqref="D9"/>
      <selection pane="bottomLeft" activeCell="D9" sqref="D9"/>
    </sheetView>
  </sheetViews>
  <sheetFormatPr defaultColWidth="8.6328125" defaultRowHeight="17" x14ac:dyDescent="0.7"/>
  <cols>
    <col min="1" max="1" width="5.36328125" style="76" bestFit="1" customWidth="1"/>
    <col min="2" max="2" width="63.36328125" style="76" bestFit="1" customWidth="1"/>
    <col min="3" max="6" width="8.6328125" style="76"/>
    <col min="7" max="7" width="11.6328125" style="76" customWidth="1"/>
    <col min="8" max="8" width="11.54296875" style="76" customWidth="1"/>
    <col min="9" max="9" width="13.54296875" style="76" customWidth="1"/>
    <col min="10" max="10" width="13.6328125" style="76" customWidth="1"/>
    <col min="11" max="11" width="11.6328125" style="76" bestFit="1" customWidth="1"/>
    <col min="12" max="16384" width="8.6328125" style="76"/>
  </cols>
  <sheetData>
    <row r="1" spans="1:10" ht="17.5" thickBot="1" x14ac:dyDescent="0.75">
      <c r="A1" s="370" t="s">
        <v>255</v>
      </c>
      <c r="B1" s="371"/>
      <c r="C1" s="371"/>
      <c r="D1" s="371"/>
      <c r="E1" s="371"/>
      <c r="F1" s="371"/>
      <c r="G1" s="371"/>
      <c r="H1" s="371"/>
      <c r="I1" s="371"/>
      <c r="J1" s="372"/>
    </row>
    <row r="2" spans="1:10" x14ac:dyDescent="0.7">
      <c r="A2" s="373" t="s">
        <v>2</v>
      </c>
      <c r="B2" s="379" t="s">
        <v>158</v>
      </c>
      <c r="C2" s="379" t="s">
        <v>159</v>
      </c>
      <c r="D2" s="379" t="s">
        <v>160</v>
      </c>
      <c r="E2" s="379" t="s">
        <v>22</v>
      </c>
      <c r="F2" s="379" t="s">
        <v>161</v>
      </c>
      <c r="G2" s="379"/>
      <c r="H2" s="379"/>
      <c r="I2" s="373" t="s">
        <v>5</v>
      </c>
      <c r="J2" s="379" t="s">
        <v>8</v>
      </c>
    </row>
    <row r="3" spans="1:10" x14ac:dyDescent="0.7">
      <c r="A3" s="374"/>
      <c r="B3" s="380"/>
      <c r="C3" s="380"/>
      <c r="D3" s="380"/>
      <c r="E3" s="380"/>
      <c r="F3" s="324" t="s">
        <v>162</v>
      </c>
      <c r="G3" s="324" t="s">
        <v>163</v>
      </c>
      <c r="H3" s="324" t="s">
        <v>164</v>
      </c>
      <c r="I3" s="374"/>
      <c r="J3" s="380"/>
    </row>
    <row r="4" spans="1:10" ht="120.75" customHeight="1" x14ac:dyDescent="0.7">
      <c r="A4" s="79">
        <v>1</v>
      </c>
      <c r="B4" s="146" t="s">
        <v>256</v>
      </c>
      <c r="C4" s="79" t="s">
        <v>12</v>
      </c>
      <c r="D4" s="79" t="s">
        <v>187</v>
      </c>
      <c r="E4" s="79">
        <v>4</v>
      </c>
      <c r="F4" s="79">
        <v>0.6</v>
      </c>
      <c r="G4" s="79"/>
      <c r="H4" s="79">
        <v>0.45</v>
      </c>
      <c r="I4" s="163">
        <f>PRODUCT(E4:H4)</f>
        <v>1.08</v>
      </c>
      <c r="J4" s="81"/>
    </row>
    <row r="5" spans="1:10" ht="113.25" customHeight="1" x14ac:dyDescent="0.7">
      <c r="A5" s="79">
        <v>2</v>
      </c>
      <c r="B5" s="206" t="s">
        <v>257</v>
      </c>
      <c r="C5" s="79" t="s">
        <v>12</v>
      </c>
      <c r="D5" s="79" t="s">
        <v>223</v>
      </c>
      <c r="E5" s="79">
        <v>2</v>
      </c>
      <c r="F5" s="79">
        <v>16.2</v>
      </c>
      <c r="G5" s="79"/>
      <c r="H5" s="79">
        <v>1</v>
      </c>
      <c r="I5" s="163">
        <f>PRODUCT(E5:H5)</f>
        <v>32.4</v>
      </c>
      <c r="J5" s="81"/>
    </row>
    <row r="6" spans="1:10" ht="113.25" customHeight="1" x14ac:dyDescent="0.7">
      <c r="A6" s="79">
        <v>3</v>
      </c>
      <c r="B6" s="206" t="s">
        <v>258</v>
      </c>
      <c r="C6" s="79" t="s">
        <v>12</v>
      </c>
      <c r="D6" s="79" t="s">
        <v>222</v>
      </c>
      <c r="E6" s="79">
        <v>1</v>
      </c>
      <c r="F6" s="79">
        <v>3.6</v>
      </c>
      <c r="G6" s="79"/>
      <c r="H6" s="79">
        <v>1.2</v>
      </c>
      <c r="I6" s="163">
        <f>H6*F6</f>
        <v>4.32</v>
      </c>
      <c r="J6" s="81"/>
    </row>
    <row r="7" spans="1:10" ht="132.75" customHeight="1" x14ac:dyDescent="0.7">
      <c r="A7" s="79">
        <v>4</v>
      </c>
      <c r="B7" s="207" t="s">
        <v>259</v>
      </c>
      <c r="C7" s="79"/>
      <c r="D7" s="79"/>
      <c r="E7" s="79"/>
      <c r="F7" s="79"/>
      <c r="G7" s="79"/>
      <c r="H7" s="79"/>
      <c r="I7" s="163"/>
      <c r="J7" s="81"/>
    </row>
    <row r="8" spans="1:10" ht="62.25" customHeight="1" x14ac:dyDescent="0.7">
      <c r="A8" s="79" t="s">
        <v>245</v>
      </c>
      <c r="B8" s="208" t="s">
        <v>260</v>
      </c>
      <c r="C8" s="79" t="s">
        <v>22</v>
      </c>
      <c r="D8" s="79"/>
      <c r="E8" s="79">
        <v>16</v>
      </c>
      <c r="F8" s="79"/>
      <c r="G8" s="79"/>
      <c r="H8" s="79"/>
      <c r="I8" s="163">
        <f>PRODUCT(E8:H8)</f>
        <v>16</v>
      </c>
      <c r="J8" s="81"/>
    </row>
    <row r="9" spans="1:10" ht="48.75" customHeight="1" x14ac:dyDescent="0.7">
      <c r="A9" s="79" t="s">
        <v>248</v>
      </c>
      <c r="B9" s="206" t="s">
        <v>261</v>
      </c>
      <c r="C9" s="79" t="s">
        <v>22</v>
      </c>
      <c r="D9" s="79"/>
      <c r="E9" s="79">
        <v>16</v>
      </c>
      <c r="F9" s="79"/>
      <c r="G9" s="79"/>
      <c r="H9" s="79"/>
      <c r="I9" s="163">
        <f>PRODUCT(E9:H9)</f>
        <v>16</v>
      </c>
      <c r="J9" s="81"/>
    </row>
    <row r="10" spans="1:10" x14ac:dyDescent="0.7">
      <c r="A10" s="133">
        <v>4</v>
      </c>
      <c r="B10" s="81" t="s">
        <v>262</v>
      </c>
      <c r="C10" s="81" t="s">
        <v>81</v>
      </c>
      <c r="D10" s="81" t="s">
        <v>223</v>
      </c>
      <c r="E10" s="133">
        <v>2</v>
      </c>
      <c r="F10" s="81"/>
      <c r="G10" s="81"/>
      <c r="H10" s="81"/>
      <c r="I10" s="209">
        <f>E10*8</f>
        <v>16</v>
      </c>
      <c r="J10" s="81"/>
    </row>
  </sheetData>
  <mergeCells count="9">
    <mergeCell ref="A1:J1"/>
    <mergeCell ref="I2:I3"/>
    <mergeCell ref="J2:J3"/>
    <mergeCell ref="A2:A3"/>
    <mergeCell ref="B2:B3"/>
    <mergeCell ref="C2:C3"/>
    <mergeCell ref="D2:D3"/>
    <mergeCell ref="E2:E3"/>
    <mergeCell ref="F2:H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14</vt:i4>
      </vt:variant>
    </vt:vector>
  </HeadingPairs>
  <TitlesOfParts>
    <vt:vector size="37" baseType="lpstr">
      <vt:lpstr>BOQ -FaridPur</vt:lpstr>
      <vt:lpstr>Aluminium Partition work</vt:lpstr>
      <vt:lpstr>Alum.Repairing (Build)</vt:lpstr>
      <vt:lpstr>Curtains</vt:lpstr>
      <vt:lpstr>New Doors</vt:lpstr>
      <vt:lpstr>Door Repairing ACP</vt:lpstr>
      <vt:lpstr>Booth Repairing</vt:lpstr>
      <vt:lpstr>Work station and Storage. </vt:lpstr>
      <vt:lpstr> signboard</vt:lpstr>
      <vt:lpstr>Plaza Painting</vt:lpstr>
      <vt:lpstr>Electric Pole painting</vt:lpstr>
      <vt:lpstr>Misc.Repairing Items</vt:lpstr>
      <vt:lpstr>Landscaping</vt:lpstr>
      <vt:lpstr>Toll Plaza Enam. Painting</vt:lpstr>
      <vt:lpstr>False Ceiling</vt:lpstr>
      <vt:lpstr>NJB</vt:lpstr>
      <vt:lpstr>Toll plaza Boundary</vt:lpstr>
      <vt:lpstr>MS Gates</vt:lpstr>
      <vt:lpstr> Tiles </vt:lpstr>
      <vt:lpstr>Toll Plaza Canopy Painting</vt:lpstr>
      <vt:lpstr>Plumbing and Sanitary Items (2)</vt:lpstr>
      <vt:lpstr>Elec. First Floor</vt:lpstr>
      <vt:lpstr>Elec. Ground Floor</vt:lpstr>
      <vt:lpstr>' Tiles '!Print_Area</vt:lpstr>
      <vt:lpstr>'Booth Repairing'!Print_Area</vt:lpstr>
      <vt:lpstr>'BOQ -FaridPur'!Print_Area</vt:lpstr>
      <vt:lpstr>'Door Repairing ACP'!Print_Area</vt:lpstr>
      <vt:lpstr>'Elec. First Floor'!Print_Area</vt:lpstr>
      <vt:lpstr>'Elec. Ground Floor'!Print_Area</vt:lpstr>
      <vt:lpstr>'Misc.Repairing Items'!Print_Area</vt:lpstr>
      <vt:lpstr>'New Doors'!Print_Area</vt:lpstr>
      <vt:lpstr>NJB!Print_Area</vt:lpstr>
      <vt:lpstr>'Plaza Painting'!Print_Area</vt:lpstr>
      <vt:lpstr>'Plumbing and Sanitary Items (2)'!Print_Area</vt:lpstr>
      <vt:lpstr>'Toll Plaza Enam. Painting'!Print_Area</vt:lpstr>
      <vt:lpstr>'BOQ -FaridPur'!Print_Titles</vt:lpstr>
      <vt:lpstr>'Toll Plaza Enam. Painting'!Print_Titles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Vinay Jindal</cp:lastModifiedBy>
  <cp:revision/>
  <cp:lastPrinted>2025-09-19T06:48:06Z</cp:lastPrinted>
  <dcterms:created xsi:type="dcterms:W3CDTF">2024-07-11T04:55:03Z</dcterms:created>
  <dcterms:modified xsi:type="dcterms:W3CDTF">2025-12-23T11:23:45Z</dcterms:modified>
  <cp:category/>
  <cp:contentStatus/>
</cp:coreProperties>
</file>